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484" activeTab="1"/>
  </bookViews>
  <sheets>
    <sheet name="SPELERSINFO" sheetId="1" r:id="rId1"/>
    <sheet name="STICKER" sheetId="2" r:id="rId2"/>
  </sheets>
  <definedNames>
    <definedName name="_xlnm.Print_Area" localSheetId="0">SPELERSINFO!$A$1:$F$34</definedName>
    <definedName name="_xlnm.Print_Area" localSheetId="1">STICKER!$A$1:$W$59</definedName>
    <definedName name="Excel_BuiltIn_Print_Area_1">STICKER!$A$2:$W$59</definedName>
  </definedNames>
  <calcPr calcId="145621"/>
</workbook>
</file>

<file path=xl/calcChain.xml><?xml version="1.0" encoding="utf-8"?>
<calcChain xmlns="http://schemas.openxmlformats.org/spreadsheetml/2006/main">
  <c r="C15" i="2" l="1"/>
  <c r="C45" i="2" s="1"/>
  <c r="D15" i="2"/>
  <c r="P15" i="2" s="1"/>
  <c r="P45" i="2" s="1"/>
  <c r="E15" i="2"/>
  <c r="J15" i="2"/>
  <c r="J45" i="2" s="1"/>
  <c r="K15" i="2"/>
  <c r="K45" i="2" s="1"/>
  <c r="M1" i="2"/>
  <c r="M31" i="2"/>
  <c r="A31" i="2"/>
  <c r="J31" i="2"/>
  <c r="V1" i="2"/>
  <c r="V31" i="2" s="1"/>
  <c r="E3" i="1"/>
  <c r="F3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F15" i="2"/>
  <c r="F45" i="2" s="1"/>
  <c r="G15" i="2"/>
  <c r="G45" i="2" s="1"/>
  <c r="S15" i="2"/>
  <c r="S45" i="2" s="1"/>
  <c r="H15" i="2"/>
  <c r="T15" i="2"/>
  <c r="T45" i="2"/>
  <c r="I15" i="2"/>
  <c r="I45" i="2" s="1"/>
  <c r="C28" i="2"/>
  <c r="C58" i="2" s="1"/>
  <c r="D28" i="2"/>
  <c r="P28" i="2" s="1"/>
  <c r="P58" i="2" s="1"/>
  <c r="E28" i="2"/>
  <c r="E58" i="2" s="1"/>
  <c r="F28" i="2"/>
  <c r="R28" i="2" s="1"/>
  <c r="R58" i="2" s="1"/>
  <c r="G28" i="2"/>
  <c r="S28" i="2" s="1"/>
  <c r="S58" i="2" s="1"/>
  <c r="H28" i="2"/>
  <c r="T28" i="2" s="1"/>
  <c r="T58" i="2" s="1"/>
  <c r="I28" i="2"/>
  <c r="I58" i="2" s="1"/>
  <c r="W15" i="2"/>
  <c r="W45" i="2" s="1"/>
  <c r="H45" i="2"/>
  <c r="C4" i="2"/>
  <c r="A5" i="2"/>
  <c r="I4" i="2"/>
  <c r="I34" i="2" s="1"/>
  <c r="D4" i="2"/>
  <c r="P4" i="2" s="1"/>
  <c r="P34" i="2" s="1"/>
  <c r="D5" i="2"/>
  <c r="D35" i="2" s="1"/>
  <c r="E5" i="2"/>
  <c r="E35" i="2" s="1"/>
  <c r="K4" i="2"/>
  <c r="W4" i="2" s="1"/>
  <c r="W34" i="2" s="1"/>
  <c r="G4" i="2"/>
  <c r="F4" i="2"/>
  <c r="A4" i="2"/>
  <c r="A34" i="2" s="1"/>
  <c r="H4" i="2"/>
  <c r="H34" i="2" s="1"/>
  <c r="E4" i="2"/>
  <c r="Q4" i="2" s="1"/>
  <c r="Q34" i="2" s="1"/>
  <c r="O15" i="2"/>
  <c r="O45" i="2" s="1"/>
  <c r="D45" i="2"/>
  <c r="M4" i="2" l="1"/>
  <c r="M34" i="2" s="1"/>
  <c r="F14" i="2"/>
  <c r="F44" i="2" s="1"/>
  <c r="I9" i="2"/>
  <c r="I39" i="2" s="1"/>
  <c r="C21" i="2"/>
  <c r="O21" i="2" s="1"/>
  <c r="O51" i="2" s="1"/>
  <c r="U4" i="2"/>
  <c r="U34" i="2" s="1"/>
  <c r="E7" i="2"/>
  <c r="Q7" i="2" s="1"/>
  <c r="Q37" i="2" s="1"/>
  <c r="C14" i="2"/>
  <c r="O14" i="2" s="1"/>
  <c r="O44" i="2" s="1"/>
  <c r="D24" i="2"/>
  <c r="P24" i="2" s="1"/>
  <c r="P54" i="2" s="1"/>
  <c r="F58" i="2"/>
  <c r="D58" i="2"/>
  <c r="G58" i="2"/>
  <c r="U28" i="2"/>
  <c r="U58" i="2" s="1"/>
  <c r="P5" i="2"/>
  <c r="P35" i="2" s="1"/>
  <c r="T4" i="2"/>
  <c r="T34" i="2" s="1"/>
  <c r="D34" i="2"/>
  <c r="R14" i="2"/>
  <c r="R44" i="2" s="1"/>
  <c r="C7" i="2"/>
  <c r="H10" i="2"/>
  <c r="G20" i="2"/>
  <c r="G50" i="2" s="1"/>
  <c r="D9" i="2"/>
  <c r="H19" i="2"/>
  <c r="G22" i="2"/>
  <c r="G52" i="2" s="1"/>
  <c r="G23" i="2"/>
  <c r="G53" i="2" s="1"/>
  <c r="E23" i="2"/>
  <c r="Q23" i="2" s="1"/>
  <c r="Q53" i="2" s="1"/>
  <c r="H23" i="2"/>
  <c r="H53" i="2" s="1"/>
  <c r="E12" i="2"/>
  <c r="E42" i="2" s="1"/>
  <c r="H14" i="2"/>
  <c r="J24" i="2"/>
  <c r="E11" i="2"/>
  <c r="F10" i="2"/>
  <c r="C12" i="2"/>
  <c r="C42" i="2" s="1"/>
  <c r="H7" i="2"/>
  <c r="H37" i="2" s="1"/>
  <c r="G7" i="2"/>
  <c r="S7" i="2" s="1"/>
  <c r="S37" i="2" s="1"/>
  <c r="E10" i="2"/>
  <c r="Q10" i="2" s="1"/>
  <c r="Q40" i="2" s="1"/>
  <c r="H20" i="2"/>
  <c r="T20" i="2" s="1"/>
  <c r="T50" i="2" s="1"/>
  <c r="U9" i="2"/>
  <c r="U39" i="2" s="1"/>
  <c r="I8" i="2"/>
  <c r="J18" i="2"/>
  <c r="I7" i="2"/>
  <c r="E34" i="2"/>
  <c r="K14" i="2"/>
  <c r="J6" i="2"/>
  <c r="E13" i="2"/>
  <c r="E9" i="2"/>
  <c r="Q9" i="2" s="1"/>
  <c r="Q39" i="2" s="1"/>
  <c r="D7" i="2"/>
  <c r="F22" i="2"/>
  <c r="I20" i="2"/>
  <c r="K12" i="2"/>
  <c r="H12" i="2"/>
  <c r="T12" i="2" s="1"/>
  <c r="T42" i="2" s="1"/>
  <c r="I24" i="2"/>
  <c r="I54" i="2" s="1"/>
  <c r="F19" i="2"/>
  <c r="R19" i="2" s="1"/>
  <c r="R49" i="2" s="1"/>
  <c r="G8" i="2"/>
  <c r="E24" i="2"/>
  <c r="E54" i="2" s="1"/>
  <c r="D10" i="2"/>
  <c r="A22" i="2"/>
  <c r="A52" i="2" s="1"/>
  <c r="K11" i="2"/>
  <c r="W11" i="2" s="1"/>
  <c r="W41" i="2" s="1"/>
  <c r="K6" i="2"/>
  <c r="C22" i="2"/>
  <c r="D22" i="2"/>
  <c r="P22" i="2" s="1"/>
  <c r="P52" i="2" s="1"/>
  <c r="F13" i="2"/>
  <c r="Q15" i="2"/>
  <c r="Q45" i="2" s="1"/>
  <c r="E45" i="2"/>
  <c r="D14" i="2"/>
  <c r="P14" i="2" s="1"/>
  <c r="P44" i="2" s="1"/>
  <c r="J7" i="2"/>
  <c r="H11" i="2"/>
  <c r="T11" i="2" s="1"/>
  <c r="T41" i="2" s="1"/>
  <c r="H9" i="2"/>
  <c r="H39" i="2" s="1"/>
  <c r="A10" i="2"/>
  <c r="M10" i="2" s="1"/>
  <c r="M40" i="2" s="1"/>
  <c r="J10" i="2"/>
  <c r="F34" i="2"/>
  <c r="R4" i="2"/>
  <c r="R34" i="2" s="1"/>
  <c r="A7" i="2"/>
  <c r="M7" i="2" s="1"/>
  <c r="M37" i="2" s="1"/>
  <c r="F20" i="2"/>
  <c r="E18" i="2"/>
  <c r="F18" i="2"/>
  <c r="G10" i="2"/>
  <c r="S10" i="2" s="1"/>
  <c r="S40" i="2" s="1"/>
  <c r="J11" i="2"/>
  <c r="D23" i="2"/>
  <c r="F9" i="2"/>
  <c r="C9" i="2"/>
  <c r="O9" i="2" s="1"/>
  <c r="O39" i="2" s="1"/>
  <c r="C10" i="2"/>
  <c r="G11" i="2"/>
  <c r="G41" i="2" s="1"/>
  <c r="I13" i="2"/>
  <c r="I43" i="2" s="1"/>
  <c r="K7" i="2"/>
  <c r="D6" i="2"/>
  <c r="J22" i="2"/>
  <c r="J52" i="2" s="1"/>
  <c r="H18" i="2"/>
  <c r="C11" i="2"/>
  <c r="I12" i="2"/>
  <c r="I11" i="2"/>
  <c r="F23" i="2"/>
  <c r="R23" i="2" s="1"/>
  <c r="R53" i="2" s="1"/>
  <c r="E19" i="2"/>
  <c r="H24" i="2"/>
  <c r="T24" i="2" s="1"/>
  <c r="T54" i="2" s="1"/>
  <c r="D19" i="2"/>
  <c r="P19" i="2" s="1"/>
  <c r="P49" i="2" s="1"/>
  <c r="K20" i="2"/>
  <c r="H22" i="2"/>
  <c r="H52" i="2" s="1"/>
  <c r="H8" i="2"/>
  <c r="C5" i="2"/>
  <c r="C35" i="2" s="1"/>
  <c r="A6" i="2"/>
  <c r="G24" i="2"/>
  <c r="K10" i="2"/>
  <c r="K40" i="2" s="1"/>
  <c r="G6" i="2"/>
  <c r="S6" i="2" s="1"/>
  <c r="S36" i="2" s="1"/>
  <c r="C19" i="2"/>
  <c r="C49" i="2" s="1"/>
  <c r="I23" i="2"/>
  <c r="I53" i="2" s="1"/>
  <c r="H13" i="2"/>
  <c r="G12" i="2"/>
  <c r="G42" i="2" s="1"/>
  <c r="K21" i="2"/>
  <c r="W21" i="2" s="1"/>
  <c r="W51" i="2" s="1"/>
  <c r="A9" i="2"/>
  <c r="M9" i="2" s="1"/>
  <c r="M39" i="2" s="1"/>
  <c r="D8" i="2"/>
  <c r="P8" i="2" s="1"/>
  <c r="P38" i="2" s="1"/>
  <c r="A8" i="2"/>
  <c r="M8" i="2" s="1"/>
  <c r="M38" i="2" s="1"/>
  <c r="A20" i="2"/>
  <c r="F24" i="2"/>
  <c r="C8" i="2"/>
  <c r="J4" i="2"/>
  <c r="D12" i="2"/>
  <c r="P12" i="2" s="1"/>
  <c r="P42" i="2" s="1"/>
  <c r="F5" i="2"/>
  <c r="J5" i="2"/>
  <c r="E14" i="2"/>
  <c r="Q14" i="2" s="1"/>
  <c r="Q44" i="2" s="1"/>
  <c r="G19" i="2"/>
  <c r="C13" i="2"/>
  <c r="O13" i="2" s="1"/>
  <c r="O43" i="2" s="1"/>
  <c r="E21" i="2"/>
  <c r="E51" i="2" s="1"/>
  <c r="F21" i="2"/>
  <c r="C24" i="2"/>
  <c r="F6" i="2"/>
  <c r="J14" i="2"/>
  <c r="V14" i="2" s="1"/>
  <c r="V44" i="2" s="1"/>
  <c r="D21" i="2"/>
  <c r="A12" i="2"/>
  <c r="G14" i="2"/>
  <c r="D11" i="2"/>
  <c r="I10" i="2"/>
  <c r="U10" i="2" s="1"/>
  <c r="U40" i="2" s="1"/>
  <c r="J23" i="2"/>
  <c r="V23" i="2" s="1"/>
  <c r="V53" i="2" s="1"/>
  <c r="G5" i="2"/>
  <c r="A23" i="2"/>
  <c r="A53" i="2" s="1"/>
  <c r="H6" i="2"/>
  <c r="T6" i="2" s="1"/>
  <c r="T36" i="2" s="1"/>
  <c r="K8" i="2"/>
  <c r="K38" i="2" s="1"/>
  <c r="K5" i="2"/>
  <c r="A21" i="2"/>
  <c r="A51" i="2" s="1"/>
  <c r="K18" i="2"/>
  <c r="W18" i="2" s="1"/>
  <c r="W48" i="2" s="1"/>
  <c r="J20" i="2"/>
  <c r="E6" i="2"/>
  <c r="A24" i="2"/>
  <c r="V15" i="2"/>
  <c r="V45" i="2" s="1"/>
  <c r="H58" i="2"/>
  <c r="K24" i="2"/>
  <c r="J8" i="2"/>
  <c r="J38" i="2" s="1"/>
  <c r="J13" i="2"/>
  <c r="F8" i="2"/>
  <c r="D20" i="2"/>
  <c r="C23" i="2"/>
  <c r="C53" i="2" s="1"/>
  <c r="I6" i="2"/>
  <c r="H21" i="2"/>
  <c r="H51" i="2" s="1"/>
  <c r="C20" i="2"/>
  <c r="O20" i="2" s="1"/>
  <c r="O50" i="2" s="1"/>
  <c r="E8" i="2"/>
  <c r="F7" i="2"/>
  <c r="J9" i="2"/>
  <c r="K9" i="2"/>
  <c r="G13" i="2"/>
  <c r="J19" i="2"/>
  <c r="C18" i="2"/>
  <c r="O18" i="2" s="1"/>
  <c r="O48" i="2" s="1"/>
  <c r="A11" i="2"/>
  <c r="I18" i="2"/>
  <c r="G9" i="2"/>
  <c r="A13" i="2"/>
  <c r="M13" i="2" s="1"/>
  <c r="M43" i="2" s="1"/>
  <c r="G21" i="2"/>
  <c r="F11" i="2"/>
  <c r="I19" i="2"/>
  <c r="U19" i="2" s="1"/>
  <c r="U49" i="2" s="1"/>
  <c r="G18" i="2"/>
  <c r="E22" i="2"/>
  <c r="I14" i="2"/>
  <c r="U14" i="2" s="1"/>
  <c r="U44" i="2" s="1"/>
  <c r="A14" i="2"/>
  <c r="J21" i="2"/>
  <c r="V21" i="2" s="1"/>
  <c r="V51" i="2" s="1"/>
  <c r="F12" i="2"/>
  <c r="C6" i="2"/>
  <c r="J12" i="2"/>
  <c r="K23" i="2"/>
  <c r="D18" i="2"/>
  <c r="I5" i="2"/>
  <c r="U5" i="2" s="1"/>
  <c r="U35" i="2" s="1"/>
  <c r="K22" i="2"/>
  <c r="I22" i="2"/>
  <c r="D13" i="2"/>
  <c r="P13" i="2" s="1"/>
  <c r="P43" i="2" s="1"/>
  <c r="E20" i="2"/>
  <c r="H5" i="2"/>
  <c r="H35" i="2" s="1"/>
  <c r="A19" i="2"/>
  <c r="M19" i="2" s="1"/>
  <c r="M49" i="2" s="1"/>
  <c r="I21" i="2"/>
  <c r="K19" i="2"/>
  <c r="W19" i="2" s="1"/>
  <c r="W49" i="2" s="1"/>
  <c r="A18" i="2"/>
  <c r="M18" i="2" s="1"/>
  <c r="M48" i="2" s="1"/>
  <c r="K13" i="2"/>
  <c r="Q28" i="2"/>
  <c r="Q58" i="2" s="1"/>
  <c r="R15" i="2"/>
  <c r="R45" i="2" s="1"/>
  <c r="U15" i="2"/>
  <c r="U45" i="2" s="1"/>
  <c r="Q5" i="2"/>
  <c r="Q35" i="2" s="1"/>
  <c r="O28" i="2"/>
  <c r="O58" i="2" s="1"/>
  <c r="O4" i="2"/>
  <c r="O34" i="2" s="1"/>
  <c r="C34" i="2"/>
  <c r="S4" i="2"/>
  <c r="S34" i="2" s="1"/>
  <c r="G34" i="2"/>
  <c r="M5" i="2"/>
  <c r="M35" i="2" s="1"/>
  <c r="A35" i="2"/>
  <c r="K34" i="2"/>
  <c r="T9" i="2"/>
  <c r="T39" i="2" s="1"/>
  <c r="C51" i="2" l="1"/>
  <c r="A40" i="2"/>
  <c r="K51" i="2"/>
  <c r="E39" i="2"/>
  <c r="M22" i="2"/>
  <c r="M52" i="2" s="1"/>
  <c r="F49" i="2"/>
  <c r="G37" i="2"/>
  <c r="T23" i="2"/>
  <c r="T53" i="2" s="1"/>
  <c r="E37" i="2"/>
  <c r="C44" i="2"/>
  <c r="A39" i="2"/>
  <c r="E40" i="2"/>
  <c r="D54" i="2"/>
  <c r="D52" i="2"/>
  <c r="C39" i="2"/>
  <c r="D44" i="2"/>
  <c r="A37" i="2"/>
  <c r="U13" i="2"/>
  <c r="U43" i="2" s="1"/>
  <c r="C43" i="2"/>
  <c r="T22" i="2"/>
  <c r="T52" i="2" s="1"/>
  <c r="C50" i="2"/>
  <c r="F53" i="2"/>
  <c r="U23" i="2"/>
  <c r="U53" i="2" s="1"/>
  <c r="U24" i="2"/>
  <c r="U54" i="2" s="1"/>
  <c r="J51" i="2"/>
  <c r="J53" i="2"/>
  <c r="D49" i="2"/>
  <c r="O19" i="2"/>
  <c r="O49" i="2" s="1"/>
  <c r="I49" i="2"/>
  <c r="V22" i="2"/>
  <c r="V52" i="2" s="1"/>
  <c r="W8" i="2"/>
  <c r="W38" i="2" s="1"/>
  <c r="A43" i="2"/>
  <c r="D42" i="2"/>
  <c r="A49" i="2"/>
  <c r="S12" i="2"/>
  <c r="S42" i="2" s="1"/>
  <c r="T7" i="2"/>
  <c r="T37" i="2" s="1"/>
  <c r="H36" i="2"/>
  <c r="E53" i="2"/>
  <c r="A38" i="2"/>
  <c r="G36" i="2"/>
  <c r="K49" i="2"/>
  <c r="T5" i="2"/>
  <c r="T35" i="2" s="1"/>
  <c r="H50" i="2"/>
  <c r="K41" i="2"/>
  <c r="D43" i="2"/>
  <c r="S23" i="2"/>
  <c r="S53" i="2" s="1"/>
  <c r="E44" i="2"/>
  <c r="I44" i="2"/>
  <c r="C48" i="2"/>
  <c r="H42" i="2"/>
  <c r="Q24" i="2"/>
  <c r="Q54" i="2" s="1"/>
  <c r="T21" i="2"/>
  <c r="T51" i="2" s="1"/>
  <c r="Q12" i="2"/>
  <c r="Q42" i="2" s="1"/>
  <c r="O12" i="2"/>
  <c r="O42" i="2" s="1"/>
  <c r="S13" i="2"/>
  <c r="S43" i="2" s="1"/>
  <c r="G43" i="2"/>
  <c r="V5" i="2"/>
  <c r="V35" i="2" s="1"/>
  <c r="J35" i="2"/>
  <c r="P6" i="2"/>
  <c r="P36" i="2" s="1"/>
  <c r="D36" i="2"/>
  <c r="V11" i="2"/>
  <c r="V41" i="2" s="1"/>
  <c r="J41" i="2"/>
  <c r="V10" i="2"/>
  <c r="V40" i="2" s="1"/>
  <c r="J40" i="2"/>
  <c r="R13" i="2"/>
  <c r="R43" i="2" s="1"/>
  <c r="F43" i="2"/>
  <c r="S8" i="2"/>
  <c r="S38" i="2" s="1"/>
  <c r="G38" i="2"/>
  <c r="P7" i="2"/>
  <c r="P37" i="2" s="1"/>
  <c r="D37" i="2"/>
  <c r="U8" i="2"/>
  <c r="U38" i="2" s="1"/>
  <c r="I38" i="2"/>
  <c r="R10" i="2"/>
  <c r="R40" i="2" s="1"/>
  <c r="F40" i="2"/>
  <c r="J44" i="2"/>
  <c r="S22" i="2"/>
  <c r="S52" i="2" s="1"/>
  <c r="R12" i="2"/>
  <c r="R42" i="2" s="1"/>
  <c r="F42" i="2"/>
  <c r="S21" i="2"/>
  <c r="S51" i="2" s="1"/>
  <c r="G51" i="2"/>
  <c r="K39" i="2"/>
  <c r="W9" i="2"/>
  <c r="W39" i="2" s="1"/>
  <c r="P20" i="2"/>
  <c r="P50" i="2" s="1"/>
  <c r="D50" i="2"/>
  <c r="E36" i="2"/>
  <c r="Q6" i="2"/>
  <c r="Q36" i="2" s="1"/>
  <c r="S5" i="2"/>
  <c r="S35" i="2" s="1"/>
  <c r="G35" i="2"/>
  <c r="R6" i="2"/>
  <c r="R36" i="2" s="1"/>
  <c r="F36" i="2"/>
  <c r="F35" i="2"/>
  <c r="R5" i="2"/>
  <c r="R35" i="2" s="1"/>
  <c r="G54" i="2"/>
  <c r="S24" i="2"/>
  <c r="S54" i="2" s="1"/>
  <c r="Q19" i="2"/>
  <c r="Q49" i="2" s="1"/>
  <c r="E49" i="2"/>
  <c r="W7" i="2"/>
  <c r="W37" i="2" s="1"/>
  <c r="K37" i="2"/>
  <c r="E41" i="2"/>
  <c r="Q11" i="2"/>
  <c r="Q41" i="2" s="1"/>
  <c r="T19" i="2"/>
  <c r="T49" i="2" s="1"/>
  <c r="H49" i="2"/>
  <c r="I40" i="2"/>
  <c r="K48" i="2"/>
  <c r="I35" i="2"/>
  <c r="H54" i="2"/>
  <c r="G40" i="2"/>
  <c r="M23" i="2"/>
  <c r="M53" i="2" s="1"/>
  <c r="W13" i="2"/>
  <c r="W43" i="2" s="1"/>
  <c r="K43" i="2"/>
  <c r="U22" i="2"/>
  <c r="U52" i="2" s="1"/>
  <c r="I52" i="2"/>
  <c r="J39" i="2"/>
  <c r="V9" i="2"/>
  <c r="V39" i="2" s="1"/>
  <c r="R8" i="2"/>
  <c r="R38" i="2" s="1"/>
  <c r="F38" i="2"/>
  <c r="V20" i="2"/>
  <c r="V50" i="2" s="1"/>
  <c r="J50" i="2"/>
  <c r="O24" i="2"/>
  <c r="O54" i="2" s="1"/>
  <c r="C54" i="2"/>
  <c r="M6" i="2"/>
  <c r="M36" i="2" s="1"/>
  <c r="A36" i="2"/>
  <c r="R18" i="2"/>
  <c r="R48" i="2" s="1"/>
  <c r="F48" i="2"/>
  <c r="C52" i="2"/>
  <c r="O22" i="2"/>
  <c r="O52" i="2" s="1"/>
  <c r="E43" i="2"/>
  <c r="Q13" i="2"/>
  <c r="Q43" i="2" s="1"/>
  <c r="V24" i="2"/>
  <c r="V54" i="2" s="1"/>
  <c r="J54" i="2"/>
  <c r="D39" i="2"/>
  <c r="P9" i="2"/>
  <c r="P39" i="2" s="1"/>
  <c r="F41" i="2"/>
  <c r="R11" i="2"/>
  <c r="R41" i="2" s="1"/>
  <c r="A44" i="2"/>
  <c r="M14" i="2"/>
  <c r="M44" i="2" s="1"/>
  <c r="J34" i="2"/>
  <c r="V4" i="2"/>
  <c r="V34" i="2" s="1"/>
  <c r="U11" i="2"/>
  <c r="U41" i="2" s="1"/>
  <c r="I41" i="2"/>
  <c r="U18" i="2"/>
  <c r="U48" i="2" s="1"/>
  <c r="I48" i="2"/>
  <c r="H43" i="2"/>
  <c r="T13" i="2"/>
  <c r="T43" i="2" s="1"/>
  <c r="I42" i="2"/>
  <c r="U12" i="2"/>
  <c r="U42" i="2" s="1"/>
  <c r="K44" i="2"/>
  <c r="W14" i="2"/>
  <c r="W44" i="2" s="1"/>
  <c r="H40" i="2"/>
  <c r="T10" i="2"/>
  <c r="T40" i="2" s="1"/>
  <c r="M21" i="2"/>
  <c r="M51" i="2" s="1"/>
  <c r="S20" i="2"/>
  <c r="S50" i="2" s="1"/>
  <c r="I51" i="2"/>
  <c r="U21" i="2"/>
  <c r="U51" i="2" s="1"/>
  <c r="P18" i="2"/>
  <c r="P48" i="2" s="1"/>
  <c r="D48" i="2"/>
  <c r="Q22" i="2"/>
  <c r="Q52" i="2" s="1"/>
  <c r="E52" i="2"/>
  <c r="A41" i="2"/>
  <c r="M11" i="2"/>
  <c r="M41" i="2" s="1"/>
  <c r="K54" i="2"/>
  <c r="W24" i="2"/>
  <c r="W54" i="2" s="1"/>
  <c r="W5" i="2"/>
  <c r="W35" i="2" s="1"/>
  <c r="K35" i="2"/>
  <c r="S14" i="2"/>
  <c r="S44" i="2" s="1"/>
  <c r="G44" i="2"/>
  <c r="F54" i="2"/>
  <c r="R24" i="2"/>
  <c r="R54" i="2" s="1"/>
  <c r="O11" i="2"/>
  <c r="O41" i="2" s="1"/>
  <c r="C41" i="2"/>
  <c r="K42" i="2"/>
  <c r="W12" i="2"/>
  <c r="W42" i="2" s="1"/>
  <c r="C37" i="2"/>
  <c r="O7" i="2"/>
  <c r="O37" i="2" s="1"/>
  <c r="E50" i="2"/>
  <c r="Q20" i="2"/>
  <c r="Q50" i="2" s="1"/>
  <c r="S9" i="2"/>
  <c r="S39" i="2" s="1"/>
  <c r="G39" i="2"/>
  <c r="V13" i="2"/>
  <c r="V43" i="2" s="1"/>
  <c r="J43" i="2"/>
  <c r="R21" i="2"/>
  <c r="R51" i="2" s="1"/>
  <c r="F51" i="2"/>
  <c r="Q18" i="2"/>
  <c r="Q48" i="2" s="1"/>
  <c r="E48" i="2"/>
  <c r="O5" i="2"/>
  <c r="O35" i="2" s="1"/>
  <c r="Q8" i="2"/>
  <c r="Q38" i="2" s="1"/>
  <c r="E38" i="2"/>
  <c r="D41" i="2"/>
  <c r="P11" i="2"/>
  <c r="P41" i="2" s="1"/>
  <c r="C38" i="2"/>
  <c r="O8" i="2"/>
  <c r="O38" i="2" s="1"/>
  <c r="R20" i="2"/>
  <c r="R50" i="2" s="1"/>
  <c r="F50" i="2"/>
  <c r="V8" i="2"/>
  <c r="V38" i="2" s="1"/>
  <c r="O23" i="2"/>
  <c r="O53" i="2" s="1"/>
  <c r="S11" i="2"/>
  <c r="S41" i="2" s="1"/>
  <c r="D38" i="2"/>
  <c r="H41" i="2"/>
  <c r="W23" i="2"/>
  <c r="W53" i="2" s="1"/>
  <c r="K53" i="2"/>
  <c r="S18" i="2"/>
  <c r="S48" i="2" s="1"/>
  <c r="G48" i="2"/>
  <c r="A42" i="2"/>
  <c r="M12" i="2"/>
  <c r="M42" i="2" s="1"/>
  <c r="G49" i="2"/>
  <c r="S19" i="2"/>
  <c r="S49" i="2" s="1"/>
  <c r="M20" i="2"/>
  <c r="M50" i="2" s="1"/>
  <c r="A50" i="2"/>
  <c r="K50" i="2"/>
  <c r="W20" i="2"/>
  <c r="W50" i="2" s="1"/>
  <c r="T18" i="2"/>
  <c r="T48" i="2" s="1"/>
  <c r="H48" i="2"/>
  <c r="F39" i="2"/>
  <c r="R9" i="2"/>
  <c r="R39" i="2" s="1"/>
  <c r="D40" i="2"/>
  <c r="P10" i="2"/>
  <c r="P40" i="2" s="1"/>
  <c r="U20" i="2"/>
  <c r="U50" i="2" s="1"/>
  <c r="I50" i="2"/>
  <c r="U7" i="2"/>
  <c r="U37" i="2" s="1"/>
  <c r="I37" i="2"/>
  <c r="O6" i="2"/>
  <c r="O36" i="2" s="1"/>
  <c r="C36" i="2"/>
  <c r="M24" i="2"/>
  <c r="M54" i="2" s="1"/>
  <c r="A54" i="2"/>
  <c r="W10" i="2"/>
  <c r="W40" i="2" s="1"/>
  <c r="W22" i="2"/>
  <c r="W52" i="2" s="1"/>
  <c r="K52" i="2"/>
  <c r="R7" i="2"/>
  <c r="R37" i="2" s="1"/>
  <c r="F37" i="2"/>
  <c r="W6" i="2"/>
  <c r="W36" i="2" s="1"/>
  <c r="K36" i="2"/>
  <c r="V6" i="2"/>
  <c r="V36" i="2" s="1"/>
  <c r="J36" i="2"/>
  <c r="T14" i="2"/>
  <c r="T44" i="2" s="1"/>
  <c r="H44" i="2"/>
  <c r="A48" i="2"/>
  <c r="T8" i="2"/>
  <c r="T38" i="2" s="1"/>
  <c r="H38" i="2"/>
  <c r="O10" i="2"/>
  <c r="O40" i="2" s="1"/>
  <c r="C40" i="2"/>
  <c r="V7" i="2"/>
  <c r="V37" i="2" s="1"/>
  <c r="J37" i="2"/>
  <c r="Q21" i="2"/>
  <c r="Q51" i="2" s="1"/>
  <c r="J42" i="2"/>
  <c r="V12" i="2"/>
  <c r="V42" i="2" s="1"/>
  <c r="V19" i="2"/>
  <c r="V49" i="2" s="1"/>
  <c r="J49" i="2"/>
  <c r="U6" i="2"/>
  <c r="U36" i="2" s="1"/>
  <c r="I36" i="2"/>
  <c r="P21" i="2"/>
  <c r="P51" i="2" s="1"/>
  <c r="D51" i="2"/>
  <c r="D53" i="2"/>
  <c r="P23" i="2"/>
  <c r="P53" i="2" s="1"/>
  <c r="R22" i="2"/>
  <c r="R52" i="2" s="1"/>
  <c r="F52" i="2"/>
  <c r="V18" i="2"/>
  <c r="V48" i="2" s="1"/>
  <c r="J48" i="2"/>
</calcChain>
</file>

<file path=xl/sharedStrings.xml><?xml version="1.0" encoding="utf-8"?>
<sst xmlns="http://schemas.openxmlformats.org/spreadsheetml/2006/main" count="108" uniqueCount="60">
  <si>
    <t>KNVB nr</t>
  </si>
  <si>
    <t>Voorletter</t>
  </si>
  <si>
    <t>Naam</t>
  </si>
  <si>
    <t>COACH</t>
  </si>
  <si>
    <t>Aanvoerder</t>
  </si>
  <si>
    <t>Waarde</t>
  </si>
  <si>
    <t>Opstelling</t>
  </si>
  <si>
    <t>Rugnr</t>
  </si>
  <si>
    <t xml:space="preserve">Rug </t>
  </si>
  <si>
    <t>*</t>
  </si>
  <si>
    <t>Rel.nr.</t>
  </si>
  <si>
    <t>Achternaam</t>
  </si>
  <si>
    <t>voorletter</t>
  </si>
  <si>
    <t>nr.</t>
  </si>
  <si>
    <t>Trainer/
coach</t>
  </si>
  <si>
    <t>* aankruisen indien vervangen/ingevallen</t>
  </si>
  <si>
    <t xml:space="preserve">   wisselspelers</t>
  </si>
  <si>
    <t>Ondergetekende, aanvoerder van dit team, verklaart dat de bovenstaande</t>
  </si>
  <si>
    <t>gegevens juist zijn.</t>
  </si>
  <si>
    <t>Handtekening: …………………….…………………..  Paraaf:  ..........</t>
  </si>
  <si>
    <t>VV Schoonhoven</t>
  </si>
  <si>
    <t>Rel.nr. BBDX69U</t>
  </si>
  <si>
    <t>MLBE10K</t>
  </si>
  <si>
    <t>NAEK432</t>
  </si>
  <si>
    <t>MZMP44Q</t>
  </si>
  <si>
    <t>vd Laan</t>
  </si>
  <si>
    <t>Benkieran</t>
  </si>
  <si>
    <t>P.J</t>
  </si>
  <si>
    <t>Hiemstra</t>
  </si>
  <si>
    <t>MEOIU132</t>
  </si>
  <si>
    <t>NBAI121</t>
  </si>
  <si>
    <t>MZVNE321</t>
  </si>
  <si>
    <t>MMNN819</t>
  </si>
  <si>
    <t>NQWRI11</t>
  </si>
  <si>
    <t>MXCZQ121</t>
  </si>
  <si>
    <t>MIWAUY6</t>
  </si>
  <si>
    <t>NUEQYT11</t>
  </si>
  <si>
    <t>MPPHG91</t>
  </si>
  <si>
    <t>MBCRT661</t>
  </si>
  <si>
    <t>MGGFP94</t>
  </si>
  <si>
    <t>K</t>
  </si>
  <si>
    <t>R</t>
  </si>
  <si>
    <t>G</t>
  </si>
  <si>
    <t>A</t>
  </si>
  <si>
    <t>Brals</t>
  </si>
  <si>
    <t>Kuipers</t>
  </si>
  <si>
    <t>Kanaç</t>
  </si>
  <si>
    <t>M</t>
  </si>
  <si>
    <t>Dönmez</t>
  </si>
  <si>
    <t>V</t>
  </si>
  <si>
    <t>L</t>
  </si>
  <si>
    <t>Bongers</t>
  </si>
  <si>
    <t>Tomasoa</t>
  </si>
  <si>
    <t>Groen</t>
  </si>
  <si>
    <t>Fisher</t>
  </si>
  <si>
    <t>van Bokhoven</t>
  </si>
  <si>
    <t>E.R.</t>
  </si>
  <si>
    <t>Vissers</t>
  </si>
  <si>
    <t>Klein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</si>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</sst>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"/>
    <numFmt numFmtId="173" formatCode="_-* #,##0.00_-;_-* #,##0.00\-;_-* \-??_-;_-@_-"/>
  </numFmts>
  <fonts count="16" x14ac:knownFonts="1"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"/>
    </font>
    <font>
      <sz val="7"/>
      <color indexed="8"/>
      <name val="Arial Narrow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52"/>
      </patternFill>
    </fill>
    <fill>
      <patternFill patternType="solid">
        <fgColor theme="3" tint="0.79998168889431442"/>
        <bgColor indexed="35"/>
      </patternFill>
    </fill>
    <fill>
      <patternFill patternType="solid">
        <fgColor theme="9" tint="0.79998168889431442"/>
        <bgColor indexed="3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3" fontId="14" fillId="0" borderId="0" applyFill="0" applyBorder="0" applyAlignment="0" applyProtection="0"/>
  </cellStyleXfs>
  <cellXfs count="89">
    <xf numFmtId="0" fontId="0" fillId="0" borderId="0" xfId="0"/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NumberFormat="1"/>
    <xf numFmtId="1" fontId="2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2" xfId="0" applyFont="1" applyBorder="1"/>
    <xf numFmtId="0" fontId="3" fillId="0" borderId="14" xfId="0" applyFont="1" applyBorder="1"/>
    <xf numFmtId="0" fontId="3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indent="1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" fillId="0" borderId="1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indent="1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5" fillId="0" borderId="18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 indent="1"/>
    </xf>
    <xf numFmtId="0" fontId="9" fillId="0" borderId="19" xfId="0" applyFont="1" applyBorder="1" applyAlignment="1">
      <alignment horizontal="center"/>
    </xf>
    <xf numFmtId="0" fontId="9" fillId="0" borderId="18" xfId="0" applyFont="1" applyBorder="1"/>
    <xf numFmtId="0" fontId="10" fillId="0" borderId="18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" xfId="0" applyFont="1" applyBorder="1" applyAlignment="1"/>
    <xf numFmtId="0" fontId="11" fillId="0" borderId="0" xfId="0" applyFont="1"/>
    <xf numFmtId="0" fontId="11" fillId="0" borderId="17" xfId="0" applyFont="1" applyBorder="1"/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indent="1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/>
    <xf numFmtId="173" fontId="15" fillId="0" borderId="2" xfId="1" applyFont="1" applyFill="1" applyBorder="1" applyAlignment="1" applyProtection="1"/>
    <xf numFmtId="173" fontId="15" fillId="0" borderId="2" xfId="1" applyFont="1" applyFill="1" applyBorder="1" applyAlignment="1" applyProtection="1">
      <alignment horizontal="left"/>
    </xf>
    <xf numFmtId="173" fontId="15" fillId="0" borderId="22" xfId="1" applyFont="1" applyFill="1" applyBorder="1" applyAlignment="1" applyProtection="1">
      <alignment horizontal="center"/>
    </xf>
    <xf numFmtId="173" fontId="15" fillId="0" borderId="23" xfId="1" applyFont="1" applyFill="1" applyBorder="1" applyAlignment="1" applyProtection="1">
      <alignment horizontal="center"/>
    </xf>
    <xf numFmtId="173" fontId="15" fillId="0" borderId="15" xfId="1" applyFont="1" applyFill="1" applyBorder="1" applyAlignment="1" applyProtection="1">
      <alignment horizontal="center"/>
    </xf>
    <xf numFmtId="0" fontId="4" fillId="0" borderId="21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15" fillId="0" borderId="2" xfId="1" applyNumberFormat="1" applyFont="1" applyFill="1" applyBorder="1" applyAlignment="1" applyProtection="1"/>
    <xf numFmtId="0" fontId="0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72" fontId="0" fillId="3" borderId="0" xfId="0" applyNumberFormat="1" applyFill="1" applyAlignment="1">
      <alignment horizontal="center"/>
    </xf>
    <xf numFmtId="172" fontId="2" fillId="4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</cellXfs>
  <cellStyles count="2">
    <cellStyle name="Komma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F34"/>
  <sheetViews>
    <sheetView topLeftCell="B1" zoomScaleSheetLayoutView="100" workbookViewId="0">
      <selection activeCell="E10" sqref="E10"/>
    </sheetView>
  </sheetViews>
  <sheetFormatPr defaultColWidth="11.5703125" defaultRowHeight="15" x14ac:dyDescent="0.25"/>
  <cols>
    <col min="1" max="1" width="8.85546875" hidden="1" customWidth="1"/>
    <col min="2" max="2" width="10" style="1" customWidth="1"/>
    <col min="3" max="3" width="5.7109375" style="1" customWidth="1"/>
    <col min="4" max="4" width="18.7109375" bestFit="1" customWidth="1"/>
    <col min="5" max="5" width="19.140625" bestFit="1" customWidth="1"/>
    <col min="6" max="6" width="19.42578125" customWidth="1"/>
  </cols>
  <sheetData>
    <row r="1" spans="1:6" x14ac:dyDescent="0.25">
      <c r="B1" s="2"/>
      <c r="C1" s="2"/>
      <c r="D1" s="3" t="s">
        <v>0</v>
      </c>
      <c r="E1" s="3" t="s">
        <v>1</v>
      </c>
      <c r="F1" s="3" t="s">
        <v>2</v>
      </c>
    </row>
    <row r="2" spans="1:6" x14ac:dyDescent="0.25">
      <c r="B2" s="2" t="s">
        <v>3</v>
      </c>
      <c r="D2" s="84"/>
      <c r="E2" s="84"/>
      <c r="F2" s="85"/>
    </row>
    <row r="3" spans="1:6" x14ac:dyDescent="0.25">
      <c r="B3" s="2" t="s">
        <v>4</v>
      </c>
      <c r="D3" s="86" t="s">
        <v>22</v>
      </c>
      <c r="E3" s="84" t="str">
        <f>VLOOKUP($D$3,$D$6:$F$22,2,0)</f>
        <v>K</v>
      </c>
      <c r="F3" s="84" t="str">
        <f>VLOOKUP($D$3,$D$6:$F$22,3,0)</f>
        <v>vd Laan</v>
      </c>
    </row>
    <row r="4" spans="1:6" x14ac:dyDescent="0.25">
      <c r="B4" s="2"/>
      <c r="D4" s="84"/>
      <c r="E4" s="84"/>
      <c r="F4" s="84"/>
    </row>
    <row r="5" spans="1:6" x14ac:dyDescent="0.25">
      <c r="A5" t="s">
        <v>5</v>
      </c>
      <c r="B5" s="2" t="s">
        <v>6</v>
      </c>
      <c r="C5" s="2" t="s">
        <v>7</v>
      </c>
      <c r="D5" s="3" t="s">
        <v>0</v>
      </c>
      <c r="E5" s="3" t="s">
        <v>1</v>
      </c>
      <c r="F5" s="3" t="s">
        <v>2</v>
      </c>
    </row>
    <row r="6" spans="1:6" ht="18" x14ac:dyDescent="0.25">
      <c r="A6" s="4">
        <f t="shared" ref="A6:A29" si="0">VALUE(B6)</f>
        <v>1</v>
      </c>
      <c r="B6" s="5">
        <v>1</v>
      </c>
      <c r="C6" s="88"/>
      <c r="D6" s="83" t="s">
        <v>22</v>
      </c>
      <c r="E6" s="76" t="s">
        <v>40</v>
      </c>
      <c r="F6" s="75" t="s">
        <v>25</v>
      </c>
    </row>
    <row r="7" spans="1:6" ht="18" x14ac:dyDescent="0.25">
      <c r="A7" s="4">
        <f t="shared" si="0"/>
        <v>2</v>
      </c>
      <c r="B7" s="5">
        <v>2</v>
      </c>
      <c r="C7" s="88"/>
      <c r="D7" s="83" t="s">
        <v>23</v>
      </c>
      <c r="E7" s="76" t="s">
        <v>41</v>
      </c>
      <c r="F7" s="75" t="s">
        <v>26</v>
      </c>
    </row>
    <row r="8" spans="1:6" ht="18" x14ac:dyDescent="0.25">
      <c r="A8" s="4">
        <f t="shared" si="0"/>
        <v>3</v>
      </c>
      <c r="B8" s="5">
        <v>3</v>
      </c>
      <c r="C8" s="88"/>
      <c r="D8" s="83" t="s">
        <v>24</v>
      </c>
      <c r="E8" s="76" t="s">
        <v>27</v>
      </c>
      <c r="F8" s="75" t="s">
        <v>28</v>
      </c>
    </row>
    <row r="9" spans="1:6" ht="18" x14ac:dyDescent="0.25">
      <c r="A9" s="4">
        <f t="shared" si="0"/>
        <v>4</v>
      </c>
      <c r="B9" s="5">
        <v>4</v>
      </c>
      <c r="C9" s="88"/>
      <c r="D9" s="75" t="s">
        <v>29</v>
      </c>
      <c r="E9" s="76" t="s">
        <v>42</v>
      </c>
      <c r="F9" s="75" t="s">
        <v>44</v>
      </c>
    </row>
    <row r="10" spans="1:6" ht="18" x14ac:dyDescent="0.25">
      <c r="A10" s="4">
        <f t="shared" si="0"/>
        <v>5</v>
      </c>
      <c r="B10" s="5">
        <v>5</v>
      </c>
      <c r="C10" s="88"/>
      <c r="D10" s="75" t="s">
        <v>31</v>
      </c>
      <c r="E10" s="76" t="s">
        <v>43</v>
      </c>
      <c r="F10" s="75" t="s">
        <v>45</v>
      </c>
    </row>
    <row r="11" spans="1:6" ht="18" x14ac:dyDescent="0.25">
      <c r="A11" s="4">
        <f t="shared" si="0"/>
        <v>6</v>
      </c>
      <c r="B11" s="5">
        <v>6</v>
      </c>
      <c r="C11" s="88"/>
      <c r="D11" s="75" t="s">
        <v>30</v>
      </c>
      <c r="E11" s="76" t="s">
        <v>47</v>
      </c>
      <c r="F11" s="75" t="s">
        <v>46</v>
      </c>
    </row>
    <row r="12" spans="1:6" ht="18" x14ac:dyDescent="0.25">
      <c r="A12" s="4">
        <f t="shared" si="0"/>
        <v>7</v>
      </c>
      <c r="B12" s="5">
        <v>7</v>
      </c>
      <c r="C12" s="88"/>
      <c r="D12" s="75" t="s">
        <v>32</v>
      </c>
      <c r="E12" s="76" t="s">
        <v>49</v>
      </c>
      <c r="F12" s="75" t="s">
        <v>48</v>
      </c>
    </row>
    <row r="13" spans="1:6" ht="18" x14ac:dyDescent="0.25">
      <c r="A13" s="4">
        <f t="shared" si="0"/>
        <v>8</v>
      </c>
      <c r="B13" s="5">
        <v>8</v>
      </c>
      <c r="C13" s="88"/>
      <c r="D13" s="75" t="s">
        <v>33</v>
      </c>
      <c r="E13" s="76" t="s">
        <v>50</v>
      </c>
      <c r="F13" s="75" t="s">
        <v>51</v>
      </c>
    </row>
    <row r="14" spans="1:6" ht="18" x14ac:dyDescent="0.25">
      <c r="A14" s="4">
        <f t="shared" si="0"/>
        <v>9</v>
      </c>
      <c r="B14" s="5">
        <v>9</v>
      </c>
      <c r="C14" s="88"/>
      <c r="D14" s="75" t="s">
        <v>34</v>
      </c>
      <c r="E14" s="76" t="s">
        <v>47</v>
      </c>
      <c r="F14" s="75" t="s">
        <v>52</v>
      </c>
    </row>
    <row r="15" spans="1:6" ht="18" x14ac:dyDescent="0.25">
      <c r="A15" s="4">
        <f t="shared" si="0"/>
        <v>10</v>
      </c>
      <c r="B15" s="5">
        <v>10</v>
      </c>
      <c r="C15" s="88"/>
      <c r="D15" s="75" t="s">
        <v>35</v>
      </c>
      <c r="E15" s="76" t="s">
        <v>43</v>
      </c>
      <c r="F15" s="75" t="s">
        <v>53</v>
      </c>
    </row>
    <row r="16" spans="1:6" ht="18" x14ac:dyDescent="0.25">
      <c r="A16" s="4">
        <f t="shared" si="0"/>
        <v>11</v>
      </c>
      <c r="B16" s="5">
        <v>11</v>
      </c>
      <c r="C16" s="88"/>
      <c r="D16" s="75" t="s">
        <v>36</v>
      </c>
      <c r="E16" s="76" t="s">
        <v>49</v>
      </c>
      <c r="F16" s="75" t="s">
        <v>54</v>
      </c>
    </row>
    <row r="17" spans="1:6" ht="18" x14ac:dyDescent="0.25">
      <c r="A17" s="4">
        <f t="shared" si="0"/>
        <v>12</v>
      </c>
      <c r="B17" s="5">
        <v>12</v>
      </c>
      <c r="C17" s="88"/>
      <c r="D17" s="75" t="s">
        <v>37</v>
      </c>
      <c r="E17" s="75" t="s">
        <v>56</v>
      </c>
      <c r="F17" s="76" t="s">
        <v>55</v>
      </c>
    </row>
    <row r="18" spans="1:6" ht="18" x14ac:dyDescent="0.25">
      <c r="A18" s="4">
        <f t="shared" si="0"/>
        <v>0</v>
      </c>
      <c r="B18" s="5"/>
      <c r="C18" s="88"/>
      <c r="D18" s="77"/>
      <c r="E18" s="78"/>
      <c r="F18" s="79"/>
    </row>
    <row r="19" spans="1:6" ht="18" x14ac:dyDescent="0.25">
      <c r="A19" s="4">
        <f t="shared" si="0"/>
        <v>13</v>
      </c>
      <c r="B19" s="5">
        <v>13</v>
      </c>
      <c r="C19" s="88"/>
      <c r="D19" s="75" t="s">
        <v>38</v>
      </c>
      <c r="E19" s="76" t="s">
        <v>59</v>
      </c>
      <c r="F19" s="75" t="s">
        <v>57</v>
      </c>
    </row>
    <row r="20" spans="1:6" ht="18" x14ac:dyDescent="0.25">
      <c r="A20" s="4">
        <f t="shared" si="0"/>
        <v>14</v>
      </c>
      <c r="B20" s="5">
        <v>14</v>
      </c>
      <c r="C20" s="88"/>
      <c r="D20" s="75" t="s">
        <v>39</v>
      </c>
      <c r="E20" s="76" t="s">
        <v>43</v>
      </c>
      <c r="F20" s="75" t="s">
        <v>58</v>
      </c>
    </row>
    <row r="21" spans="1:6" ht="18" x14ac:dyDescent="0.25">
      <c r="A21" s="4">
        <f t="shared" si="0"/>
        <v>0</v>
      </c>
      <c r="B21" s="5"/>
      <c r="C21" s="88"/>
      <c r="D21" s="75"/>
      <c r="E21" s="76"/>
      <c r="F21" s="75"/>
    </row>
    <row r="22" spans="1:6" x14ac:dyDescent="0.25">
      <c r="A22" s="4">
        <f t="shared" si="0"/>
        <v>0</v>
      </c>
      <c r="B22" s="5"/>
      <c r="C22" s="88"/>
      <c r="D22" s="87"/>
      <c r="E22" s="87"/>
      <c r="F22" s="87"/>
    </row>
    <row r="23" spans="1:6" x14ac:dyDescent="0.25">
      <c r="A23" s="4">
        <f t="shared" si="0"/>
        <v>0</v>
      </c>
      <c r="B23" s="5"/>
      <c r="C23" s="88"/>
      <c r="D23" s="87"/>
      <c r="E23" s="87"/>
      <c r="F23" s="87"/>
    </row>
    <row r="24" spans="1:6" x14ac:dyDescent="0.25">
      <c r="A24" s="4">
        <f t="shared" si="0"/>
        <v>0</v>
      </c>
      <c r="B24" s="5"/>
      <c r="C24" s="88"/>
      <c r="D24" s="87"/>
      <c r="E24" s="87"/>
      <c r="F24" s="87"/>
    </row>
    <row r="25" spans="1:6" x14ac:dyDescent="0.25">
      <c r="A25" s="4">
        <f t="shared" si="0"/>
        <v>0</v>
      </c>
      <c r="B25" s="5"/>
      <c r="C25" s="88"/>
      <c r="D25" s="87"/>
      <c r="E25" s="87"/>
      <c r="F25" s="87"/>
    </row>
    <row r="26" spans="1:6" x14ac:dyDescent="0.25">
      <c r="A26" s="4">
        <f t="shared" si="0"/>
        <v>0</v>
      </c>
      <c r="B26" s="5"/>
      <c r="C26" s="88"/>
      <c r="D26" s="87"/>
      <c r="E26" s="87"/>
      <c r="F26" s="87"/>
    </row>
    <row r="27" spans="1:6" x14ac:dyDescent="0.25">
      <c r="A27" s="4">
        <f t="shared" si="0"/>
        <v>0</v>
      </c>
      <c r="B27" s="5"/>
      <c r="C27" s="88"/>
      <c r="D27" s="87"/>
      <c r="E27" s="87"/>
      <c r="F27" s="87"/>
    </row>
    <row r="28" spans="1:6" x14ac:dyDescent="0.25">
      <c r="A28" s="4">
        <f t="shared" si="0"/>
        <v>0</v>
      </c>
      <c r="B28" s="5"/>
      <c r="C28" s="88"/>
      <c r="D28" s="87"/>
      <c r="E28" s="87"/>
      <c r="F28" s="87"/>
    </row>
    <row r="29" spans="1:6" x14ac:dyDescent="0.25">
      <c r="A29" s="4">
        <f t="shared" si="0"/>
        <v>0</v>
      </c>
      <c r="B29" s="5"/>
      <c r="C29" s="88"/>
      <c r="D29" s="87"/>
      <c r="E29" s="87"/>
      <c r="F29" s="87"/>
    </row>
    <row r="30" spans="1:6" x14ac:dyDescent="0.25">
      <c r="B30" s="5"/>
      <c r="C30" s="88"/>
      <c r="D30" s="87"/>
      <c r="E30" s="87"/>
      <c r="F30" s="87"/>
    </row>
    <row r="31" spans="1:6" x14ac:dyDescent="0.25">
      <c r="B31" s="5"/>
      <c r="C31" s="88"/>
      <c r="D31" s="87"/>
      <c r="E31" s="87"/>
      <c r="F31" s="87"/>
    </row>
    <row r="32" spans="1:6" x14ac:dyDescent="0.25">
      <c r="B32" s="5"/>
      <c r="C32" s="88"/>
      <c r="D32" s="87"/>
      <c r="E32" s="87"/>
      <c r="F32" s="87"/>
    </row>
    <row r="33" spans="2:6" x14ac:dyDescent="0.25">
      <c r="B33" s="5"/>
      <c r="C33" s="88"/>
      <c r="D33" s="87"/>
      <c r="E33" s="87"/>
      <c r="F33" s="87"/>
    </row>
    <row r="34" spans="2:6" x14ac:dyDescent="0.25">
      <c r="B34" s="5"/>
      <c r="C34" s="88"/>
      <c r="D34" s="87"/>
      <c r="E34" s="87"/>
      <c r="F34" s="87"/>
    </row>
  </sheetData>
  <sheetProtection selectLockedCells="1" selectUnlockedCells="1"/>
  <mergeCells count="1">
    <mergeCell ref="D18:F18"/>
  </mergeCells>
  <phoneticPr fontId="12" type="noConversion"/>
  <pageMargins left="0.78749999999999998" right="0.78749999999999998" top="1.0631944444444446" bottom="1.0631944444444446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zoomScaleSheetLayoutView="100" workbookViewId="0">
      <selection sqref="A1:I1"/>
    </sheetView>
  </sheetViews>
  <sheetFormatPr defaultRowHeight="14.25" x14ac:dyDescent="0.2"/>
  <cols>
    <col min="1" max="2" width="3.140625" style="6" customWidth="1"/>
    <col min="3" max="9" width="2.5703125" style="7" customWidth="1"/>
    <col min="10" max="10" width="18.140625" style="8" customWidth="1"/>
    <col min="11" max="11" width="5.7109375" style="7" customWidth="1"/>
    <col min="12" max="12" width="6" style="9" customWidth="1"/>
    <col min="13" max="14" width="3.140625" style="6" customWidth="1"/>
    <col min="15" max="21" width="2.5703125" style="6" customWidth="1"/>
    <col min="22" max="22" width="18.85546875" style="6" customWidth="1"/>
    <col min="23" max="23" width="5.7109375" style="6" customWidth="1"/>
    <col min="24" max="16384" width="9.140625" style="6"/>
  </cols>
  <sheetData>
    <row r="1" spans="1:23" s="11" customFormat="1" ht="16.899999999999999" customHeight="1" x14ac:dyDescent="0.15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0" t="s">
        <v>21</v>
      </c>
      <c r="K1" s="80"/>
      <c r="L1" s="10"/>
      <c r="M1" s="82" t="str">
        <f>+A1</f>
        <v>VV Schoonhoven</v>
      </c>
      <c r="N1" s="82"/>
      <c r="O1" s="82"/>
      <c r="P1" s="82"/>
      <c r="Q1" s="82"/>
      <c r="R1" s="82"/>
      <c r="S1" s="82"/>
      <c r="T1" s="82"/>
      <c r="U1" s="82"/>
      <c r="V1" s="80" t="str">
        <f>+J1</f>
        <v>Rel.nr. BBDX69U</v>
      </c>
      <c r="W1" s="80"/>
    </row>
    <row r="2" spans="1:23" s="11" customFormat="1" ht="9.9499999999999993" customHeight="1" x14ac:dyDescent="0.15">
      <c r="A2" s="12" t="s">
        <v>8</v>
      </c>
      <c r="B2" s="13" t="s">
        <v>9</v>
      </c>
      <c r="C2" s="14" t="s">
        <v>10</v>
      </c>
      <c r="D2" s="15"/>
      <c r="E2" s="15"/>
      <c r="F2" s="15"/>
      <c r="G2" s="15"/>
      <c r="H2" s="15"/>
      <c r="I2" s="16"/>
      <c r="J2" s="17" t="s">
        <v>11</v>
      </c>
      <c r="K2" s="18" t="s">
        <v>12</v>
      </c>
      <c r="L2" s="10"/>
      <c r="M2" s="12" t="s">
        <v>8</v>
      </c>
      <c r="N2" s="13" t="s">
        <v>9</v>
      </c>
      <c r="O2" s="14" t="s">
        <v>10</v>
      </c>
      <c r="P2" s="15"/>
      <c r="Q2" s="15"/>
      <c r="R2" s="15"/>
      <c r="S2" s="15"/>
      <c r="T2" s="15"/>
      <c r="U2" s="16"/>
      <c r="V2" s="17" t="s">
        <v>11</v>
      </c>
      <c r="W2" s="18" t="s">
        <v>12</v>
      </c>
    </row>
    <row r="3" spans="1:23" s="11" customFormat="1" ht="9.9499999999999993" customHeight="1" x14ac:dyDescent="0.15">
      <c r="A3" s="19" t="s">
        <v>13</v>
      </c>
      <c r="B3" s="20"/>
      <c r="J3" s="21"/>
      <c r="K3" s="22"/>
      <c r="L3" s="23"/>
      <c r="M3" s="19" t="s">
        <v>13</v>
      </c>
      <c r="N3" s="20"/>
      <c r="O3" s="24"/>
      <c r="P3" s="25"/>
      <c r="Q3" s="25"/>
      <c r="R3" s="25"/>
      <c r="S3" s="25"/>
      <c r="T3" s="25"/>
      <c r="U3" s="26"/>
      <c r="V3" s="21"/>
      <c r="W3" s="22"/>
    </row>
    <row r="4" spans="1:23" ht="15" customHeight="1" x14ac:dyDescent="0.2">
      <c r="A4" s="27" t="str">
        <f>IF(ISNA(VLOOKUP(1,SPELERSINFO!$A$6:$F$34,1,FALSE)),"",IF(VLOOKUP(1,SPELERSINFO!$A$6:$F$34,3,FALSE)=0," ",VLOOKUP(1,SPELERSINFO!$A$6:$F$34,3,FALSE)))</f>
        <v xml:space="preserve"> </v>
      </c>
      <c r="B4" s="28"/>
      <c r="C4" s="27" t="str">
        <f>IF(ISNA(VLOOKUP(1,SPELERSINFO!$A$6:$F$34,1,FALSE)),"",LEFT(VLOOKUP(1,SPELERSINFO!$A$6:$F$34,4,FALSE),1))</f>
        <v>M</v>
      </c>
      <c r="D4" s="27" t="str">
        <f>IF(ISNA(VLOOKUP(1,SPELERSINFO!$A$6:$F$34,1,FALSE)),"",MID(VLOOKUP(1,SPELERSINFO!$A$6:$F$34,4,FALSE),2,1))</f>
        <v>L</v>
      </c>
      <c r="E4" s="27" t="str">
        <f>IF(ISNA(VLOOKUP(1,SPELERSINFO!$A$6:$F$34,1,FALSE)),"",MID(VLOOKUP(1,SPELERSINFO!$A$6:$F$34,4,FALSE),3,1))</f>
        <v>B</v>
      </c>
      <c r="F4" s="27" t="str">
        <f>IF(ISNA(VLOOKUP(1,SPELERSINFO!$A$6:$F$34,1,FALSE)),"",MID(VLOOKUP(1,SPELERSINFO!$A$6:$F$34,4,FALSE),4,1))</f>
        <v>E</v>
      </c>
      <c r="G4" s="27" t="str">
        <f>IF(ISNA(VLOOKUP(1,SPELERSINFO!$A$6:$F$34,1,FALSE)),"",MID(VLOOKUP(1,SPELERSINFO!$A$6:$F$34,4,FALSE),5,1))</f>
        <v>1</v>
      </c>
      <c r="H4" s="27" t="str">
        <f>IF(ISNA(VLOOKUP(1,SPELERSINFO!$A$6:$F$34,1,FALSE)),"",MID(VLOOKUP(1,SPELERSINFO!$A$6:$F$34,4,FALSE),6,1))</f>
        <v>0</v>
      </c>
      <c r="I4" s="27" t="str">
        <f>IF(ISNA(VLOOKUP(1,SPELERSINFO!$A$6:$F$34,1,FALSE)),"",MID(VLOOKUP(1,SPELERSINFO!$A$6:$F$34,4,FALSE),7,1))</f>
        <v>K</v>
      </c>
      <c r="J4" s="27" t="str">
        <f>IF(ISNA(VLOOKUP(1,SPELERSINFO!$A$6:$F$34,1,FALSE)),"",VLOOKUP(1,SPELERSINFO!$A$6:$F$34,6,FALSE))</f>
        <v>vd Laan</v>
      </c>
      <c r="K4" s="27" t="str">
        <f>IF(ISNA(VLOOKUP(1,SPELERSINFO!$A$6:$F$34,1,FALSE)),"",VLOOKUP(1,SPELERSINFO!$A$6:$F$34,5,FALSE))</f>
        <v>K</v>
      </c>
      <c r="L4" s="29"/>
      <c r="M4" s="27" t="str">
        <f t="shared" ref="M4:M14" si="0">A4</f>
        <v xml:space="preserve"> </v>
      </c>
      <c r="N4" s="28"/>
      <c r="O4" s="30" t="str">
        <f t="shared" ref="O4:O15" si="1">C4</f>
        <v>M</v>
      </c>
      <c r="P4" s="31" t="str">
        <f t="shared" ref="P4:P15" si="2">D4</f>
        <v>L</v>
      </c>
      <c r="Q4" s="31" t="str">
        <f t="shared" ref="Q4:Q15" si="3">E4</f>
        <v>B</v>
      </c>
      <c r="R4" s="31" t="str">
        <f t="shared" ref="R4:R15" si="4">F4</f>
        <v>E</v>
      </c>
      <c r="S4" s="31" t="str">
        <f t="shared" ref="S4:S15" si="5">G4</f>
        <v>1</v>
      </c>
      <c r="T4" s="31" t="str">
        <f t="shared" ref="T4:T15" si="6">H4</f>
        <v>0</v>
      </c>
      <c r="U4" s="31" t="str">
        <f t="shared" ref="U4:U15" si="7">I4</f>
        <v>K</v>
      </c>
      <c r="V4" s="32" t="str">
        <f t="shared" ref="V4:V15" si="8">J4</f>
        <v>vd Laan</v>
      </c>
      <c r="W4" s="33" t="str">
        <f t="shared" ref="W4:W15" si="9">K4</f>
        <v>K</v>
      </c>
    </row>
    <row r="5" spans="1:23" ht="15" customHeight="1" x14ac:dyDescent="0.2">
      <c r="A5" s="27" t="str">
        <f>IF(ISNA(VLOOKUP(2,SPELERSINFO!$A$6:$F$34,1,FALSE)),"",IF(VLOOKUP(2,SPELERSINFO!$A$6:$F$34,3,FALSE)=0," ",VLOOKUP(2,SPELERSINFO!$A$6:$F$34,3,FALSE)))</f>
        <v xml:space="preserve"> </v>
      </c>
      <c r="B5" s="28"/>
      <c r="C5" s="27" t="str">
        <f>IF(ISNA(VLOOKUP(2,SPELERSINFO!$A$6:$F$34,1,FALSE)),"",LEFT(VLOOKUP(2,SPELERSINFO!$A$6:$F$34,4,FALSE),1))</f>
        <v>N</v>
      </c>
      <c r="D5" s="27" t="str">
        <f>IF(ISNA(VLOOKUP(2,SPELERSINFO!$A$6:$F$34,1,FALSE)),"",MID(VLOOKUP(2,SPELERSINFO!$A$6:$F$34,4,FALSE),2,1))</f>
        <v>A</v>
      </c>
      <c r="E5" s="27" t="str">
        <f>IF(ISNA(VLOOKUP(2,SPELERSINFO!$A$6:$F$34,1,FALSE)),"",MID(VLOOKUP(2,SPELERSINFO!$A$6:$F$34,4,FALSE),3,1))</f>
        <v>E</v>
      </c>
      <c r="F5" s="27" t="str">
        <f>IF(ISNA(VLOOKUP(2,SPELERSINFO!$A$6:$F$34,1,FALSE)),"",MID(VLOOKUP(2,SPELERSINFO!$A$6:$F$34,4,FALSE),4,1))</f>
        <v>K</v>
      </c>
      <c r="G5" s="27" t="str">
        <f>IF(ISNA(VLOOKUP(2,SPELERSINFO!$A$6:$F$34,1,FALSE)),"",MID(VLOOKUP(2,SPELERSINFO!$A$6:$F$34,4,FALSE),5,1))</f>
        <v>4</v>
      </c>
      <c r="H5" s="27" t="str">
        <f>IF(ISNA(VLOOKUP(2,SPELERSINFO!$A$6:$F$34,1,FALSE)),"",MID(VLOOKUP(2,SPELERSINFO!$A$6:$F$34,4,FALSE),6,1))</f>
        <v>3</v>
      </c>
      <c r="I5" s="27" t="str">
        <f>IF(ISNA(VLOOKUP(2,SPELERSINFO!$A$6:$F$34,1,FALSE)),"",MID(VLOOKUP(2,SPELERSINFO!$A$6:$F$34,4,FALSE),7,1))</f>
        <v>2</v>
      </c>
      <c r="J5" s="27" t="str">
        <f>IF(ISNA(VLOOKUP(2,SPELERSINFO!$A$6:$F$34,1,FALSE)),"",VLOOKUP(2,SPELERSINFO!$A$6:$F$34,6,FALSE))</f>
        <v>Benkieran</v>
      </c>
      <c r="K5" s="27" t="str">
        <f>IF(ISNA(VLOOKUP(2,SPELERSINFO!$A$6:$F$34,1,FALSE)),"",VLOOKUP(2,SPELERSINFO!$A$6:$F$34,5,FALSE))</f>
        <v>R</v>
      </c>
      <c r="L5" s="29"/>
      <c r="M5" s="27" t="str">
        <f t="shared" si="0"/>
        <v xml:space="preserve"> </v>
      </c>
      <c r="N5" s="28"/>
      <c r="O5" s="30" t="str">
        <f t="shared" si="1"/>
        <v>N</v>
      </c>
      <c r="P5" s="31" t="str">
        <f t="shared" si="2"/>
        <v>A</v>
      </c>
      <c r="Q5" s="31" t="str">
        <f t="shared" si="3"/>
        <v>E</v>
      </c>
      <c r="R5" s="31" t="str">
        <f t="shared" si="4"/>
        <v>K</v>
      </c>
      <c r="S5" s="31" t="str">
        <f t="shared" si="5"/>
        <v>4</v>
      </c>
      <c r="T5" s="31" t="str">
        <f t="shared" si="6"/>
        <v>3</v>
      </c>
      <c r="U5" s="31" t="str">
        <f t="shared" si="7"/>
        <v>2</v>
      </c>
      <c r="V5" s="32" t="str">
        <f t="shared" si="8"/>
        <v>Benkieran</v>
      </c>
      <c r="W5" s="33" t="str">
        <f t="shared" si="9"/>
        <v>R</v>
      </c>
    </row>
    <row r="6" spans="1:23" ht="15" customHeight="1" x14ac:dyDescent="0.2">
      <c r="A6" s="27" t="str">
        <f>IF(ISNA(VLOOKUP(3,SPELERSINFO!$A$6:$F$34,1,FALSE)),"",IF(VLOOKUP(3,SPELERSINFO!$A$6:$F$34,3,FALSE)=0," ",VLOOKUP(3,SPELERSINFO!$A$6:$F$34,3,FALSE)))</f>
        <v xml:space="preserve"> </v>
      </c>
      <c r="B6" s="28"/>
      <c r="C6" s="27" t="str">
        <f>IF(ISNA(VLOOKUP(3,SPELERSINFO!$A$6:$F$34,1,FALSE)),"",LEFT(VLOOKUP(3,SPELERSINFO!$A$6:$F$34,4,FALSE),1))</f>
        <v>M</v>
      </c>
      <c r="D6" s="27" t="str">
        <f>IF(ISNA(VLOOKUP(3,SPELERSINFO!$A$6:$F$34,1,FALSE)),"",MID(VLOOKUP(3,SPELERSINFO!$A$6:$F$34,4,FALSE),2,1))</f>
        <v>Z</v>
      </c>
      <c r="E6" s="27" t="str">
        <f>IF(ISNA(VLOOKUP(3,SPELERSINFO!$A$6:$F$34,1,FALSE)),"",MID(VLOOKUP(3,SPELERSINFO!$A$6:$F$34,4,FALSE),3,1))</f>
        <v>M</v>
      </c>
      <c r="F6" s="27" t="str">
        <f>IF(ISNA(VLOOKUP(3,SPELERSINFO!$A$6:$F$34,1,FALSE)),"",MID(VLOOKUP(3,SPELERSINFO!$A$6:$F$34,4,FALSE),4,1))</f>
        <v>P</v>
      </c>
      <c r="G6" s="27" t="str">
        <f>IF(ISNA(VLOOKUP(3,SPELERSINFO!$A$6:$F$34,1,FALSE)),"",MID(VLOOKUP(3,SPELERSINFO!$A$6:$F$34,4,FALSE),5,1))</f>
        <v>4</v>
      </c>
      <c r="H6" s="27" t="str">
        <f>IF(ISNA(VLOOKUP(3,SPELERSINFO!$A$6:$F$34,1,FALSE)),"",MID(VLOOKUP(3,SPELERSINFO!$A$6:$F$34,4,FALSE),6,1))</f>
        <v>4</v>
      </c>
      <c r="I6" s="27" t="str">
        <f>IF(ISNA(VLOOKUP(3,SPELERSINFO!$A$6:$F$34,1,FALSE)),"",MID(VLOOKUP(3,SPELERSINFO!$A$6:$F$34,4,FALSE),7,1))</f>
        <v>Q</v>
      </c>
      <c r="J6" s="27" t="str">
        <f>IF(ISNA(VLOOKUP(3,SPELERSINFO!$A$6:$F$34,1,FALSE)),"",VLOOKUP(3,SPELERSINFO!$A$6:$F$34,6,FALSE))</f>
        <v>Hiemstra</v>
      </c>
      <c r="K6" s="27" t="str">
        <f>IF(ISNA(VLOOKUP(3,SPELERSINFO!$A$6:$F$34,1,FALSE)),"",VLOOKUP(3,SPELERSINFO!$A$6:$F$34,5,FALSE))</f>
        <v>P.J</v>
      </c>
      <c r="L6" s="29"/>
      <c r="M6" s="27" t="str">
        <f t="shared" si="0"/>
        <v xml:space="preserve"> </v>
      </c>
      <c r="N6" s="28"/>
      <c r="O6" s="30" t="str">
        <f t="shared" si="1"/>
        <v>M</v>
      </c>
      <c r="P6" s="31" t="str">
        <f t="shared" si="2"/>
        <v>Z</v>
      </c>
      <c r="Q6" s="31" t="str">
        <f t="shared" si="3"/>
        <v>M</v>
      </c>
      <c r="R6" s="31" t="str">
        <f t="shared" si="4"/>
        <v>P</v>
      </c>
      <c r="S6" s="31" t="str">
        <f t="shared" si="5"/>
        <v>4</v>
      </c>
      <c r="T6" s="31" t="str">
        <f t="shared" si="6"/>
        <v>4</v>
      </c>
      <c r="U6" s="31" t="str">
        <f t="shared" si="7"/>
        <v>Q</v>
      </c>
      <c r="V6" s="32" t="str">
        <f t="shared" si="8"/>
        <v>Hiemstra</v>
      </c>
      <c r="W6" s="33" t="str">
        <f t="shared" si="9"/>
        <v>P.J</v>
      </c>
    </row>
    <row r="7" spans="1:23" ht="15" customHeight="1" x14ac:dyDescent="0.2">
      <c r="A7" s="27" t="str">
        <f>IF(ISNA(VLOOKUP(4,SPELERSINFO!$A$6:$F$34,1,FALSE)),"",IF(VLOOKUP(4,SPELERSINFO!$A$6:$F$34,3,FALSE)=0," ",VLOOKUP(4,SPELERSINFO!$A$6:$F$34,3,FALSE)))</f>
        <v xml:space="preserve"> </v>
      </c>
      <c r="B7" s="28"/>
      <c r="C7" s="27" t="str">
        <f>IF(ISNA(VLOOKUP(4,SPELERSINFO!$A$6:$F$34,1,FALSE)),"",LEFT(VLOOKUP(4,SPELERSINFO!$A$6:$F$34,4,FALSE),1))</f>
        <v>M</v>
      </c>
      <c r="D7" s="27" t="str">
        <f>IF(ISNA(VLOOKUP(4,SPELERSINFO!$A$6:$F$34,1,FALSE)),"",MID(VLOOKUP(4,SPELERSINFO!$A$6:$F$34,4,FALSE),2,1))</f>
        <v>E</v>
      </c>
      <c r="E7" s="27" t="str">
        <f>IF(ISNA(VLOOKUP(4,SPELERSINFO!$A$6:$F$34,1,FALSE)),"",MID(VLOOKUP(4,SPELERSINFO!$A$6:$F$34,4,FALSE),3,1))</f>
        <v>O</v>
      </c>
      <c r="F7" s="27" t="str">
        <f>IF(ISNA(VLOOKUP(4,SPELERSINFO!$A$6:$F$34,1,FALSE)),"",MID(VLOOKUP(4,SPELERSINFO!$A$6:$F$34,4,FALSE),4,1))</f>
        <v>I</v>
      </c>
      <c r="G7" s="27" t="str">
        <f>IF(ISNA(VLOOKUP(4,SPELERSINFO!$A$6:$F$34,1,FALSE)),"",MID(VLOOKUP(4,SPELERSINFO!$A$6:$F$34,4,FALSE),5,1))</f>
        <v>U</v>
      </c>
      <c r="H7" s="27" t="str">
        <f>IF(ISNA(VLOOKUP(4,SPELERSINFO!$A$6:$F$34,1,FALSE)),"",MID(VLOOKUP(4,SPELERSINFO!$A$6:$F$34,4,FALSE),6,1))</f>
        <v>1</v>
      </c>
      <c r="I7" s="27" t="str">
        <f>IF(ISNA(VLOOKUP(4,SPELERSINFO!$A$6:$F$34,1,FALSE)),"",MID(VLOOKUP(4,SPELERSINFO!$A$6:$F$34,4,FALSE),7,1))</f>
        <v>3</v>
      </c>
      <c r="J7" s="27" t="str">
        <f>IF(ISNA(VLOOKUP(4,SPELERSINFO!$A$6:$F$34,1,FALSE)),"",VLOOKUP(4,SPELERSINFO!$A$6:$F$34,6,FALSE))</f>
        <v>Brals</v>
      </c>
      <c r="K7" s="27" t="str">
        <f>IF(ISNA(VLOOKUP(4,SPELERSINFO!$A$6:$F$34,1,FALSE)),"",VLOOKUP(4,SPELERSINFO!$A$6:$F$34,5,FALSE))</f>
        <v>G</v>
      </c>
      <c r="L7" s="29"/>
      <c r="M7" s="27" t="str">
        <f t="shared" si="0"/>
        <v xml:space="preserve"> </v>
      </c>
      <c r="N7" s="28"/>
      <c r="O7" s="30" t="str">
        <f t="shared" si="1"/>
        <v>M</v>
      </c>
      <c r="P7" s="31" t="str">
        <f t="shared" si="2"/>
        <v>E</v>
      </c>
      <c r="Q7" s="31" t="str">
        <f t="shared" si="3"/>
        <v>O</v>
      </c>
      <c r="R7" s="31" t="str">
        <f t="shared" si="4"/>
        <v>I</v>
      </c>
      <c r="S7" s="31" t="str">
        <f t="shared" si="5"/>
        <v>U</v>
      </c>
      <c r="T7" s="31" t="str">
        <f t="shared" si="6"/>
        <v>1</v>
      </c>
      <c r="U7" s="31" t="str">
        <f t="shared" si="7"/>
        <v>3</v>
      </c>
      <c r="V7" s="32" t="str">
        <f t="shared" si="8"/>
        <v>Brals</v>
      </c>
      <c r="W7" s="33" t="str">
        <f t="shared" si="9"/>
        <v>G</v>
      </c>
    </row>
    <row r="8" spans="1:23" ht="15" customHeight="1" x14ac:dyDescent="0.2">
      <c r="A8" s="27" t="str">
        <f>IF(ISNA(VLOOKUP(5,SPELERSINFO!$A$6:$F$34,1,FALSE)),"",IF(VLOOKUP(5,SPELERSINFO!$A$6:$F$34,3,FALSE)=0," ",VLOOKUP(5,SPELERSINFO!$A$6:$F$34,3,FALSE)))</f>
        <v xml:space="preserve"> </v>
      </c>
      <c r="B8" s="28"/>
      <c r="C8" s="27" t="str">
        <f>IF(ISNA(VLOOKUP(5,SPELERSINFO!$A$6:$F$34,1,FALSE)),"",LEFT(VLOOKUP(5,SPELERSINFO!$A$6:$F$34,4,FALSE),1))</f>
        <v>M</v>
      </c>
      <c r="D8" s="27" t="str">
        <f>IF(ISNA(VLOOKUP(5,SPELERSINFO!$A$6:$F$34,1,FALSE)),"",MID(VLOOKUP(5,SPELERSINFO!$A$6:$F$34,4,FALSE),2,1))</f>
        <v>Z</v>
      </c>
      <c r="E8" s="27" t="str">
        <f>IF(ISNA(VLOOKUP(5,SPELERSINFO!$A$6:$F$34,1,FALSE)),"",MID(VLOOKUP(5,SPELERSINFO!$A$6:$F$34,4,FALSE),3,1))</f>
        <v>V</v>
      </c>
      <c r="F8" s="27" t="str">
        <f>IF(ISNA(VLOOKUP(5,SPELERSINFO!$A$6:$F$34,1,FALSE)),"",MID(VLOOKUP(5,SPELERSINFO!$A$6:$F$34,4,FALSE),4,1))</f>
        <v>N</v>
      </c>
      <c r="G8" s="27" t="str">
        <f>IF(ISNA(VLOOKUP(5,SPELERSINFO!$A$6:$F$34,1,FALSE)),"",MID(VLOOKUP(5,SPELERSINFO!$A$6:$F$34,4,FALSE),5,1))</f>
        <v>E</v>
      </c>
      <c r="H8" s="27" t="str">
        <f>IF(ISNA(VLOOKUP(5,SPELERSINFO!$A$6:$F$34,1,FALSE)),"",MID(VLOOKUP(5,SPELERSINFO!$A$6:$F$34,4,FALSE),6,1))</f>
        <v>3</v>
      </c>
      <c r="I8" s="27" t="str">
        <f>IF(ISNA(VLOOKUP(5,SPELERSINFO!$A$6:$F$34,1,FALSE)),"",MID(VLOOKUP(5,SPELERSINFO!$A$6:$F$34,4,FALSE),7,1))</f>
        <v>2</v>
      </c>
      <c r="J8" s="27" t="str">
        <f>IF(ISNA(VLOOKUP(5,SPELERSINFO!$A$6:$F$34,1,FALSE)),"",VLOOKUP(5,SPELERSINFO!$A$6:$F$34,6,FALSE))</f>
        <v>Kuipers</v>
      </c>
      <c r="K8" s="27" t="str">
        <f>IF(ISNA(VLOOKUP(5,SPELERSINFO!$A$6:$F$34,1,FALSE)),"",VLOOKUP(5,SPELERSINFO!$A$6:$F$34,5,FALSE))</f>
        <v>A</v>
      </c>
      <c r="L8" s="29"/>
      <c r="M8" s="27" t="str">
        <f t="shared" si="0"/>
        <v xml:space="preserve"> </v>
      </c>
      <c r="N8" s="28"/>
      <c r="O8" s="30" t="str">
        <f t="shared" si="1"/>
        <v>M</v>
      </c>
      <c r="P8" s="31" t="str">
        <f t="shared" si="2"/>
        <v>Z</v>
      </c>
      <c r="Q8" s="31" t="str">
        <f t="shared" si="3"/>
        <v>V</v>
      </c>
      <c r="R8" s="31" t="str">
        <f t="shared" si="4"/>
        <v>N</v>
      </c>
      <c r="S8" s="31" t="str">
        <f t="shared" si="5"/>
        <v>E</v>
      </c>
      <c r="T8" s="31" t="str">
        <f t="shared" si="6"/>
        <v>3</v>
      </c>
      <c r="U8" s="31" t="str">
        <f t="shared" si="7"/>
        <v>2</v>
      </c>
      <c r="V8" s="32" t="str">
        <f t="shared" si="8"/>
        <v>Kuipers</v>
      </c>
      <c r="W8" s="33" t="str">
        <f t="shared" si="9"/>
        <v>A</v>
      </c>
    </row>
    <row r="9" spans="1:23" ht="15" customHeight="1" x14ac:dyDescent="0.2">
      <c r="A9" s="27" t="str">
        <f>IF(ISNA(VLOOKUP(6,SPELERSINFO!$A$6:$F$34,1,FALSE)),"",IF(VLOOKUP(6,SPELERSINFO!$A$6:$F$34,3,FALSE)=0," ",VLOOKUP(6,SPELERSINFO!$A$6:$F$34,3,FALSE)))</f>
        <v xml:space="preserve"> </v>
      </c>
      <c r="B9" s="28"/>
      <c r="C9" s="27" t="str">
        <f>IF(ISNA(VLOOKUP(6,SPELERSINFO!$A$6:$F$34,1,FALSE)),"",LEFT(VLOOKUP(6,SPELERSINFO!$A$6:$F$34,4,FALSE),1))</f>
        <v>N</v>
      </c>
      <c r="D9" s="27" t="str">
        <f>IF(ISNA(VLOOKUP(6,SPELERSINFO!$A$6:$F$34,1,FALSE)),"",MID(VLOOKUP(6,SPELERSINFO!$A$6:$F$34,4,FALSE),2,1))</f>
        <v>B</v>
      </c>
      <c r="E9" s="27" t="str">
        <f>IF(ISNA(VLOOKUP(6,SPELERSINFO!$A$6:$F$34,1,FALSE)),"",MID(VLOOKUP(6,SPELERSINFO!$A$6:$F$34,4,FALSE),3,1))</f>
        <v>A</v>
      </c>
      <c r="F9" s="27" t="str">
        <f>IF(ISNA(VLOOKUP(6,SPELERSINFO!$A$6:$F$34,1,FALSE)),"",MID(VLOOKUP(6,SPELERSINFO!$A$6:$F$34,4,FALSE),4,1))</f>
        <v>I</v>
      </c>
      <c r="G9" s="27" t="str">
        <f>IF(ISNA(VLOOKUP(6,SPELERSINFO!$A$6:$F$34,1,FALSE)),"",MID(VLOOKUP(6,SPELERSINFO!$A$6:$F$34,4,FALSE),5,1))</f>
        <v>1</v>
      </c>
      <c r="H9" s="27" t="str">
        <f>IF(ISNA(VLOOKUP(6,SPELERSINFO!$A$6:$F$34,1,FALSE)),"",MID(VLOOKUP(6,SPELERSINFO!$A$6:$F$34,4,FALSE),6,1))</f>
        <v>2</v>
      </c>
      <c r="I9" s="27" t="str">
        <f>IF(ISNA(VLOOKUP(6,SPELERSINFO!$A$6:$F$34,1,FALSE)),"",MID(VLOOKUP(6,SPELERSINFO!$A$6:$F$34,4,FALSE),7,1))</f>
        <v>1</v>
      </c>
      <c r="J9" s="27" t="str">
        <f>IF(ISNA(VLOOKUP(6,SPELERSINFO!$A$6:$F$34,1,FALSE)),"",VLOOKUP(6,SPELERSINFO!$A$6:$F$34,6,FALSE))</f>
        <v>Kanaç</v>
      </c>
      <c r="K9" s="27" t="str">
        <f>IF(ISNA(VLOOKUP(6,SPELERSINFO!$A$6:$F$34,1,FALSE)),"",VLOOKUP(6,SPELERSINFO!$A$6:$F$34,5,FALSE))</f>
        <v>M</v>
      </c>
      <c r="L9" s="29"/>
      <c r="M9" s="27" t="str">
        <f t="shared" si="0"/>
        <v xml:space="preserve"> </v>
      </c>
      <c r="N9" s="28"/>
      <c r="O9" s="30" t="str">
        <f t="shared" si="1"/>
        <v>N</v>
      </c>
      <c r="P9" s="31" t="str">
        <f t="shared" si="2"/>
        <v>B</v>
      </c>
      <c r="Q9" s="31" t="str">
        <f t="shared" si="3"/>
        <v>A</v>
      </c>
      <c r="R9" s="31" t="str">
        <f t="shared" si="4"/>
        <v>I</v>
      </c>
      <c r="S9" s="31" t="str">
        <f t="shared" si="5"/>
        <v>1</v>
      </c>
      <c r="T9" s="31" t="str">
        <f t="shared" si="6"/>
        <v>2</v>
      </c>
      <c r="U9" s="31" t="str">
        <f t="shared" si="7"/>
        <v>1</v>
      </c>
      <c r="V9" s="32" t="str">
        <f t="shared" si="8"/>
        <v>Kanaç</v>
      </c>
      <c r="W9" s="33" t="str">
        <f t="shared" si="9"/>
        <v>M</v>
      </c>
    </row>
    <row r="10" spans="1:23" ht="15" customHeight="1" x14ac:dyDescent="0.2">
      <c r="A10" s="27" t="str">
        <f>IF(ISNA(VLOOKUP(7,SPELERSINFO!$A$6:$F$34,1,FALSE)),"",IF(VLOOKUP(7,SPELERSINFO!$A$6:$F$34,3,FALSE)=0," ",VLOOKUP(7,SPELERSINFO!$A$6:$F$34,3,FALSE)))</f>
        <v xml:space="preserve"> </v>
      </c>
      <c r="B10" s="28"/>
      <c r="C10" s="27" t="str">
        <f>IF(ISNA(VLOOKUP(7,SPELERSINFO!$A$6:$F$34,1,FALSE)),"",LEFT(VLOOKUP(7,SPELERSINFO!$A$6:$F$34,4,FALSE),1))</f>
        <v>M</v>
      </c>
      <c r="D10" s="27" t="str">
        <f>IF(ISNA(VLOOKUP(7,SPELERSINFO!$A$6:$F$34,1,FALSE)),"",MID(VLOOKUP(7,SPELERSINFO!$A$6:$F$34,4,FALSE),2,1))</f>
        <v>M</v>
      </c>
      <c r="E10" s="27" t="str">
        <f>IF(ISNA(VLOOKUP(7,SPELERSINFO!$A$6:$F$34,1,FALSE)),"",MID(VLOOKUP(7,SPELERSINFO!$A$6:$F$34,4,FALSE),3,1))</f>
        <v>N</v>
      </c>
      <c r="F10" s="27" t="str">
        <f>IF(ISNA(VLOOKUP(7,SPELERSINFO!$A$6:$F$34,1,FALSE)),"",MID(VLOOKUP(7,SPELERSINFO!$A$6:$F$34,4,FALSE),4,1))</f>
        <v>N</v>
      </c>
      <c r="G10" s="27" t="str">
        <f>IF(ISNA(VLOOKUP(7,SPELERSINFO!$A$6:$F$34,1,FALSE)),"",MID(VLOOKUP(7,SPELERSINFO!$A$6:$F$34,4,FALSE),5,1))</f>
        <v>8</v>
      </c>
      <c r="H10" s="27" t="str">
        <f>IF(ISNA(VLOOKUP(7,SPELERSINFO!$A$6:$F$34,1,FALSE)),"",MID(VLOOKUP(7,SPELERSINFO!$A$6:$F$34,4,FALSE),6,1))</f>
        <v>1</v>
      </c>
      <c r="I10" s="27" t="str">
        <f>IF(ISNA(VLOOKUP(8,SPELERSINFO!$A$6:$F$34,1,FALSE)),"",MID(VLOOKUP(7,SPELERSINFO!$A$6:$F$34,4,FALSE),7,1))</f>
        <v>9</v>
      </c>
      <c r="J10" s="27" t="str">
        <f>IF(ISNA(VLOOKUP(7,SPELERSINFO!$A$6:$F$34,1,FALSE)),"",VLOOKUP(7,SPELERSINFO!$A$6:$F$34,6,FALSE))</f>
        <v>Dönmez</v>
      </c>
      <c r="K10" s="27" t="str">
        <f>IF(ISNA(VLOOKUP(7,SPELERSINFO!$A$6:$F$34,1,FALSE)),"",VLOOKUP(7,SPELERSINFO!$A$6:$F$34,5,FALSE))</f>
        <v>V</v>
      </c>
      <c r="L10" s="29"/>
      <c r="M10" s="27" t="str">
        <f t="shared" si="0"/>
        <v xml:space="preserve"> </v>
      </c>
      <c r="N10" s="28"/>
      <c r="O10" s="30" t="str">
        <f t="shared" si="1"/>
        <v>M</v>
      </c>
      <c r="P10" s="31" t="str">
        <f t="shared" si="2"/>
        <v>M</v>
      </c>
      <c r="Q10" s="31" t="str">
        <f t="shared" si="3"/>
        <v>N</v>
      </c>
      <c r="R10" s="31" t="str">
        <f t="shared" si="4"/>
        <v>N</v>
      </c>
      <c r="S10" s="31" t="str">
        <f t="shared" si="5"/>
        <v>8</v>
      </c>
      <c r="T10" s="31" t="str">
        <f t="shared" si="6"/>
        <v>1</v>
      </c>
      <c r="U10" s="31" t="str">
        <f t="shared" si="7"/>
        <v>9</v>
      </c>
      <c r="V10" s="32" t="str">
        <f t="shared" si="8"/>
        <v>Dönmez</v>
      </c>
      <c r="W10" s="33" t="str">
        <f t="shared" si="9"/>
        <v>V</v>
      </c>
    </row>
    <row r="11" spans="1:23" ht="15" customHeight="1" x14ac:dyDescent="0.2">
      <c r="A11" s="27" t="str">
        <f>IF(ISNA(VLOOKUP(8,SPELERSINFO!$A$6:$F$34,1,FALSE)),"",IF(VLOOKUP(8,SPELERSINFO!$A$6:$F$34,3,FALSE)=0," ",VLOOKUP(8,SPELERSINFO!$A$6:$F$34,3,FALSE)))</f>
        <v xml:space="preserve"> </v>
      </c>
      <c r="B11" s="28"/>
      <c r="C11" s="27" t="str">
        <f>IF(ISNA(VLOOKUP(8,SPELERSINFO!$A$6:$F$34,1,FALSE)),"",LEFT(VLOOKUP(8,SPELERSINFO!$A$6:$F$34,4,FALSE),1))</f>
        <v>N</v>
      </c>
      <c r="D11" s="27" t="str">
        <f>IF(ISNA(VLOOKUP(8,SPELERSINFO!$A$6:$F$34,1,FALSE)),"",MID(VLOOKUP(8,SPELERSINFO!$A$6:$F$34,4,FALSE),2,1))</f>
        <v>Q</v>
      </c>
      <c r="E11" s="27" t="str">
        <f>IF(ISNA(VLOOKUP(8,SPELERSINFO!$A$6:$F$34,1,FALSE)),"",MID(VLOOKUP(8,SPELERSINFO!$A$6:$F$34,4,FALSE),3,1))</f>
        <v>W</v>
      </c>
      <c r="F11" s="27" t="str">
        <f>IF(ISNA(VLOOKUP(8,SPELERSINFO!$A$6:$F$34,1,FALSE)),"",MID(VLOOKUP(8,SPELERSINFO!$A$6:$F$34,4,FALSE),4,1))</f>
        <v>R</v>
      </c>
      <c r="G11" s="27" t="str">
        <f>IF(ISNA(VLOOKUP(8,SPELERSINFO!$A$6:$F$34,1,FALSE)),"",MID(VLOOKUP(8,SPELERSINFO!$A$6:$F$34,4,FALSE),5,1))</f>
        <v>I</v>
      </c>
      <c r="H11" s="27" t="str">
        <f>IF(ISNA(VLOOKUP(8,SPELERSINFO!$A$6:$F$34,1,FALSE)),"",MID(VLOOKUP(8,SPELERSINFO!$A$6:$F$34,4,FALSE),6,1))</f>
        <v>1</v>
      </c>
      <c r="I11" s="27" t="str">
        <f>IF(ISNA(VLOOKUP(9,SPELERSINFO!$A$6:$F$34,1,FALSE)),"",MID(VLOOKUP(8,SPELERSINFO!$A$6:$F$34,4,FALSE),7,1))</f>
        <v>1</v>
      </c>
      <c r="J11" s="27" t="str">
        <f>IF(ISNA(VLOOKUP(8,SPELERSINFO!$A$6:$F$34,1,FALSE)),"",VLOOKUP(8,SPELERSINFO!$A$6:$F$34,6,FALSE))</f>
        <v>Bongers</v>
      </c>
      <c r="K11" s="27" t="str">
        <f>IF(ISNA(VLOOKUP(8,SPELERSINFO!$A$6:$F$34,1,FALSE)),"",VLOOKUP(8,SPELERSINFO!$A$6:$F$34,5,FALSE))</f>
        <v>L</v>
      </c>
      <c r="L11" s="29"/>
      <c r="M11" s="27" t="str">
        <f t="shared" si="0"/>
        <v xml:space="preserve"> </v>
      </c>
      <c r="N11" s="28"/>
      <c r="O11" s="30" t="str">
        <f t="shared" si="1"/>
        <v>N</v>
      </c>
      <c r="P11" s="31" t="str">
        <f t="shared" si="2"/>
        <v>Q</v>
      </c>
      <c r="Q11" s="31" t="str">
        <f t="shared" si="3"/>
        <v>W</v>
      </c>
      <c r="R11" s="31" t="str">
        <f t="shared" si="4"/>
        <v>R</v>
      </c>
      <c r="S11" s="31" t="str">
        <f t="shared" si="5"/>
        <v>I</v>
      </c>
      <c r="T11" s="31" t="str">
        <f t="shared" si="6"/>
        <v>1</v>
      </c>
      <c r="U11" s="31" t="str">
        <f t="shared" si="7"/>
        <v>1</v>
      </c>
      <c r="V11" s="32" t="str">
        <f t="shared" si="8"/>
        <v>Bongers</v>
      </c>
      <c r="W11" s="33" t="str">
        <f t="shared" si="9"/>
        <v>L</v>
      </c>
    </row>
    <row r="12" spans="1:23" ht="15" customHeight="1" x14ac:dyDescent="0.2">
      <c r="A12" s="27" t="str">
        <f>IF(ISNA(VLOOKUP(9,SPELERSINFO!$A$6:$F$34,1,FALSE)),"",IF(VLOOKUP(9,SPELERSINFO!$A$6:$F$34,3,FALSE)=0," ",VLOOKUP(9,SPELERSINFO!$A$6:$F$34,3,FALSE)))</f>
        <v xml:space="preserve"> </v>
      </c>
      <c r="B12" s="28"/>
      <c r="C12" s="27" t="str">
        <f>IF(ISNA(VLOOKUP(9,SPELERSINFO!$A$6:$F$34,1,FALSE)),"",LEFT(VLOOKUP(9,SPELERSINFO!$A$6:$F$34,4,FALSE),1))</f>
        <v>M</v>
      </c>
      <c r="D12" s="27" t="str">
        <f>IF(ISNA(VLOOKUP(9,SPELERSINFO!$A$6:$F$34,1,FALSE)),"",MID(VLOOKUP(9,SPELERSINFO!$A$6:$F$34,4,FALSE),2,1))</f>
        <v>X</v>
      </c>
      <c r="E12" s="27" t="str">
        <f>IF(ISNA(VLOOKUP(9,SPELERSINFO!$A$6:$F$34,1,FALSE)),"",MID(VLOOKUP(9,SPELERSINFO!$A$6:$F$34,4,FALSE),3,1))</f>
        <v>C</v>
      </c>
      <c r="F12" s="27" t="str">
        <f>IF(ISNA(VLOOKUP(9,SPELERSINFO!$A$6:$F$34,1,FALSE)),"",MID(VLOOKUP(9,SPELERSINFO!$A$6:$F$34,4,FALSE),4,1))</f>
        <v>Z</v>
      </c>
      <c r="G12" s="27" t="str">
        <f>IF(ISNA(VLOOKUP(9,SPELERSINFO!$A$6:$F$34,1,FALSE)),"",MID(VLOOKUP(9,SPELERSINFO!$A$6:$F$34,4,FALSE),5,1))</f>
        <v>Q</v>
      </c>
      <c r="H12" s="27" t="str">
        <f>IF(ISNA(VLOOKUP(9,SPELERSINFO!$A$6:$F$34,1,FALSE)),"",MID(VLOOKUP(9,SPELERSINFO!$A$6:$F$34,4,FALSE),6,1))</f>
        <v>1</v>
      </c>
      <c r="I12" s="27" t="str">
        <f>IF(ISNA(VLOOKUP(9,SPELERSINFO!$A$6:$F$34,1,FALSE)),"",MID(VLOOKUP(9,SPELERSINFO!$A$6:$F$34,4,FALSE),7,1))</f>
        <v>2</v>
      </c>
      <c r="J12" s="27" t="str">
        <f>IF(ISNA(VLOOKUP(9,SPELERSINFO!$A$6:$F$34,1,FALSE)),"",VLOOKUP(9,SPELERSINFO!$A$6:$F$34,6,FALSE))</f>
        <v>Tomasoa</v>
      </c>
      <c r="K12" s="27" t="str">
        <f>IF(ISNA(VLOOKUP(9,SPELERSINFO!$A$6:$F$34,1,FALSE)),"",VLOOKUP(9,SPELERSINFO!$A$6:$F$34,5,FALSE))</f>
        <v>M</v>
      </c>
      <c r="L12" s="29"/>
      <c r="M12" s="27" t="str">
        <f t="shared" si="0"/>
        <v xml:space="preserve"> </v>
      </c>
      <c r="N12" s="28"/>
      <c r="O12" s="30" t="str">
        <f t="shared" si="1"/>
        <v>M</v>
      </c>
      <c r="P12" s="31" t="str">
        <f t="shared" si="2"/>
        <v>X</v>
      </c>
      <c r="Q12" s="31" t="str">
        <f t="shared" si="3"/>
        <v>C</v>
      </c>
      <c r="R12" s="31" t="str">
        <f t="shared" si="4"/>
        <v>Z</v>
      </c>
      <c r="S12" s="31" t="str">
        <f t="shared" si="5"/>
        <v>Q</v>
      </c>
      <c r="T12" s="31" t="str">
        <f t="shared" si="6"/>
        <v>1</v>
      </c>
      <c r="U12" s="31" t="str">
        <f t="shared" si="7"/>
        <v>2</v>
      </c>
      <c r="V12" s="32" t="str">
        <f t="shared" si="8"/>
        <v>Tomasoa</v>
      </c>
      <c r="W12" s="33" t="str">
        <f t="shared" si="9"/>
        <v>M</v>
      </c>
    </row>
    <row r="13" spans="1:23" ht="15" customHeight="1" x14ac:dyDescent="0.2">
      <c r="A13" s="27" t="str">
        <f>IF(ISNA(VLOOKUP(10,SPELERSINFO!$A$6:$F$34,1,FALSE)),"",IF(VLOOKUP(10,SPELERSINFO!$A$6:$F$34,3,FALSE)=0," ",VLOOKUP(10,SPELERSINFO!$A$6:$F$34,3,FALSE)))</f>
        <v xml:space="preserve"> </v>
      </c>
      <c r="B13" s="28"/>
      <c r="C13" s="27" t="str">
        <f>IF(ISNA(VLOOKUP(10,SPELERSINFO!$A$6:$F$34,1,FALSE)),"",LEFT(VLOOKUP(10,SPELERSINFO!$A$6:$F$34,4,FALSE),1))</f>
        <v>M</v>
      </c>
      <c r="D13" s="27" t="str">
        <f>IF(ISNA(VLOOKUP(10,SPELERSINFO!$A$6:$F$34,1,FALSE)),"",MID(VLOOKUP(10,SPELERSINFO!$A$6:$F$34,4,FALSE),2,1))</f>
        <v>I</v>
      </c>
      <c r="E13" s="27" t="str">
        <f>IF(ISNA(VLOOKUP(10,SPELERSINFO!$A$6:$F$34,1,FALSE)),"",MID(VLOOKUP(10,SPELERSINFO!$A$6:$F$34,4,FALSE),3,1))</f>
        <v>W</v>
      </c>
      <c r="F13" s="27" t="str">
        <f>IF(ISNA(VLOOKUP(10,SPELERSINFO!$A$6:$F$34,1,FALSE)),"",MID(VLOOKUP(10,SPELERSINFO!$A$6:$F$34,4,FALSE),4,1))</f>
        <v>A</v>
      </c>
      <c r="G13" s="27" t="str">
        <f>IF(ISNA(VLOOKUP(10,SPELERSINFO!$A$6:$F$34,1,FALSE)),"",MID(VLOOKUP(10,SPELERSINFO!$A$6:$F$34,4,FALSE),5,1))</f>
        <v>U</v>
      </c>
      <c r="H13" s="27" t="str">
        <f>IF(ISNA(VLOOKUP(10,SPELERSINFO!$A$6:$F$34,1,FALSE)),"",MID(VLOOKUP(10,SPELERSINFO!$A$6:$F$34,4,FALSE),6,1))</f>
        <v>Y</v>
      </c>
      <c r="I13" s="27" t="str">
        <f>IF(ISNA(VLOOKUP(10,SPELERSINFO!$A$6:$F$34,1,FALSE)),"",MID(VLOOKUP(10,SPELERSINFO!$A$6:$F$34,4,FALSE),7,1))</f>
        <v>6</v>
      </c>
      <c r="J13" s="27" t="str">
        <f>IF(ISNA(VLOOKUP(10,SPELERSINFO!$A$6:$F$34,1,FALSE)),"",VLOOKUP(10,SPELERSINFO!$A$6:$F$34,6,FALSE))</f>
        <v>Groen</v>
      </c>
      <c r="K13" s="27" t="str">
        <f>IF(ISNA(VLOOKUP(10,SPELERSINFO!$A$6:$F$34,1,FALSE)),"",VLOOKUP(10,SPELERSINFO!$A$6:$F$34,5,FALSE))</f>
        <v>A</v>
      </c>
      <c r="L13" s="29"/>
      <c r="M13" s="27" t="str">
        <f t="shared" si="0"/>
        <v xml:space="preserve"> </v>
      </c>
      <c r="N13" s="28"/>
      <c r="O13" s="30" t="str">
        <f t="shared" si="1"/>
        <v>M</v>
      </c>
      <c r="P13" s="31" t="str">
        <f t="shared" si="2"/>
        <v>I</v>
      </c>
      <c r="Q13" s="31" t="str">
        <f t="shared" si="3"/>
        <v>W</v>
      </c>
      <c r="R13" s="31" t="str">
        <f t="shared" si="4"/>
        <v>A</v>
      </c>
      <c r="S13" s="31" t="str">
        <f t="shared" si="5"/>
        <v>U</v>
      </c>
      <c r="T13" s="31" t="str">
        <f t="shared" si="6"/>
        <v>Y</v>
      </c>
      <c r="U13" s="31" t="str">
        <f t="shared" si="7"/>
        <v>6</v>
      </c>
      <c r="V13" s="32" t="str">
        <f t="shared" si="8"/>
        <v>Groen</v>
      </c>
      <c r="W13" s="33" t="str">
        <f t="shared" si="9"/>
        <v>A</v>
      </c>
    </row>
    <row r="14" spans="1:23" ht="15" customHeight="1" x14ac:dyDescent="0.2">
      <c r="A14" s="27" t="str">
        <f>IF(ISNA(VLOOKUP(11,SPELERSINFO!$A$6:$F$34,1,FALSE)),"",IF(VLOOKUP(11,SPELERSINFO!$A$6:$F$34,3,FALSE)=0," ",VLOOKUP(11,SPELERSINFO!$A$6:$F$34,3,FALSE)))</f>
        <v xml:space="preserve"> </v>
      </c>
      <c r="B14" s="28"/>
      <c r="C14" s="27" t="str">
        <f>IF(ISNA(VLOOKUP(11,SPELERSINFO!$A$6:$F$34,1,FALSE)),"",LEFT(VLOOKUP(11,SPELERSINFO!$A$6:$F$34,4,FALSE),1))</f>
        <v>N</v>
      </c>
      <c r="D14" s="27" t="str">
        <f>IF(ISNA(VLOOKUP(11,SPELERSINFO!$A$6:$F$34,1,FALSE)),"",MID(VLOOKUP(11,SPELERSINFO!$A$6:$F$34,4,FALSE),2,1))</f>
        <v>U</v>
      </c>
      <c r="E14" s="27" t="str">
        <f>IF(ISNA(VLOOKUP(11,SPELERSINFO!$A$6:$F$34,1,FALSE)),"",MID(VLOOKUP(11,SPELERSINFO!$A$6:$F$34,4,FALSE),3,1))</f>
        <v>E</v>
      </c>
      <c r="F14" s="27" t="str">
        <f>IF(ISNA(VLOOKUP(11,SPELERSINFO!$A$6:$F$34,1,FALSE)),"",MID(VLOOKUP(11,SPELERSINFO!$A$6:$F$34,4,FALSE),4,1))</f>
        <v>Q</v>
      </c>
      <c r="G14" s="27" t="str">
        <f>IF(ISNA(VLOOKUP(11,SPELERSINFO!$A$6:$F$34,1,FALSE)),"",MID(VLOOKUP(11,SPELERSINFO!$A$6:$F$34,4,FALSE),5,1))</f>
        <v>Y</v>
      </c>
      <c r="H14" s="27" t="str">
        <f>IF(ISNA(VLOOKUP(11,SPELERSINFO!$A$6:$F$34,1,FALSE)),"",MID(VLOOKUP(11,SPELERSINFO!$A$6:$F$34,4,FALSE),6,1))</f>
        <v>T</v>
      </c>
      <c r="I14" s="27" t="str">
        <f>IF(ISNA(VLOOKUP(11,SPELERSINFO!$A$6:$F$34,1,FALSE)),"",MID(VLOOKUP(11,SPELERSINFO!$A$6:$F$34,4,FALSE),7,1))</f>
        <v>1</v>
      </c>
      <c r="J14" s="27" t="str">
        <f>IF(ISNA(VLOOKUP(11,SPELERSINFO!$A$6:$F$34,1,FALSE)),"",VLOOKUP(11,SPELERSINFO!$A$6:$F$34,6,FALSE))</f>
        <v>Fisher</v>
      </c>
      <c r="K14" s="27" t="str">
        <f>IF(ISNA(VLOOKUP(11,SPELERSINFO!$A$6:$F$34,1,FALSE)),"",VLOOKUP(11,SPELERSINFO!$A$6:$F$34,5,FALSE))</f>
        <v>V</v>
      </c>
      <c r="L14" s="29"/>
      <c r="M14" s="27" t="str">
        <f t="shared" si="0"/>
        <v xml:space="preserve"> </v>
      </c>
      <c r="N14" s="28"/>
      <c r="O14" s="30" t="str">
        <f t="shared" si="1"/>
        <v>N</v>
      </c>
      <c r="P14" s="31" t="str">
        <f t="shared" si="2"/>
        <v>U</v>
      </c>
      <c r="Q14" s="31" t="str">
        <f t="shared" si="3"/>
        <v>E</v>
      </c>
      <c r="R14" s="31" t="str">
        <f t="shared" si="4"/>
        <v>Q</v>
      </c>
      <c r="S14" s="31" t="str">
        <f t="shared" si="5"/>
        <v>Y</v>
      </c>
      <c r="T14" s="31" t="str">
        <f t="shared" si="6"/>
        <v>T</v>
      </c>
      <c r="U14" s="31" t="str">
        <f t="shared" si="7"/>
        <v>1</v>
      </c>
      <c r="V14" s="32" t="str">
        <f t="shared" si="8"/>
        <v>Fisher</v>
      </c>
      <c r="W14" s="33" t="str">
        <f t="shared" si="9"/>
        <v>V</v>
      </c>
    </row>
    <row r="15" spans="1:23" ht="17.25" customHeight="1" x14ac:dyDescent="0.2">
      <c r="A15" s="81" t="s">
        <v>14</v>
      </c>
      <c r="B15" s="81"/>
      <c r="C15" s="27" t="str">
        <f>LEFT(SPELERSINFO!$D$2,1)</f>
        <v/>
      </c>
      <c r="D15" s="27" t="str">
        <f>MID(SPELERSINFO!$D$2,2,1)</f>
        <v/>
      </c>
      <c r="E15" s="27" t="str">
        <f>MID(SPELERSINFO!$D$2,3,1)</f>
        <v/>
      </c>
      <c r="F15" s="27" t="str">
        <f>MID(SPELERSINFO!$D$2,4,1)</f>
        <v/>
      </c>
      <c r="G15" s="27" t="str">
        <f>MID(SPELERSINFO!$D$2,5,1)</f>
        <v/>
      </c>
      <c r="H15" s="27" t="str">
        <f>MID(SPELERSINFO!$D$2,6,1)</f>
        <v/>
      </c>
      <c r="I15" s="27" t="str">
        <f>RIGHT(SPELERSINFO!$D$2,1)</f>
        <v/>
      </c>
      <c r="J15" s="27" t="str">
        <f>IF(ISBLANK(SPELERSINFO!F2),"",SPELERSINFO!F2)</f>
        <v/>
      </c>
      <c r="K15" s="27" t="str">
        <f>IF(ISBLANK(SPELERSINFO!G2),"",SPELERSINFO!G2)</f>
        <v/>
      </c>
      <c r="L15" s="29"/>
      <c r="M15" s="81" t="s">
        <v>14</v>
      </c>
      <c r="N15" s="81"/>
      <c r="O15" s="30" t="str">
        <f t="shared" si="1"/>
        <v/>
      </c>
      <c r="P15" s="31" t="str">
        <f t="shared" si="2"/>
        <v/>
      </c>
      <c r="Q15" s="31" t="str">
        <f t="shared" si="3"/>
        <v/>
      </c>
      <c r="R15" s="31" t="str">
        <f t="shared" si="4"/>
        <v/>
      </c>
      <c r="S15" s="31" t="str">
        <f t="shared" si="5"/>
        <v/>
      </c>
      <c r="T15" s="31" t="str">
        <f t="shared" si="6"/>
        <v/>
      </c>
      <c r="U15" s="31" t="str">
        <f t="shared" si="7"/>
        <v/>
      </c>
      <c r="V15" s="32" t="str">
        <f t="shared" si="8"/>
        <v/>
      </c>
      <c r="W15" s="33" t="str">
        <f t="shared" si="9"/>
        <v/>
      </c>
    </row>
    <row r="16" spans="1:23" s="39" customFormat="1" ht="9" x14ac:dyDescent="0.15">
      <c r="A16" s="34"/>
      <c r="B16" s="35"/>
      <c r="C16" s="35" t="s">
        <v>15</v>
      </c>
      <c r="D16" s="35"/>
      <c r="E16" s="35"/>
      <c r="F16" s="35"/>
      <c r="G16" s="35"/>
      <c r="H16" s="35"/>
      <c r="I16" s="35"/>
      <c r="J16" s="36"/>
      <c r="K16" s="37"/>
      <c r="L16" s="38"/>
      <c r="M16" s="34"/>
      <c r="N16" s="35"/>
      <c r="O16" s="35" t="s">
        <v>15</v>
      </c>
      <c r="P16" s="35"/>
      <c r="Q16" s="35"/>
      <c r="R16" s="35"/>
      <c r="S16" s="35"/>
      <c r="T16" s="35"/>
      <c r="U16" s="35"/>
      <c r="V16" s="36"/>
      <c r="W16" s="37"/>
    </row>
    <row r="17" spans="1:23" s="39" customFormat="1" ht="9" x14ac:dyDescent="0.15">
      <c r="A17" s="40"/>
      <c r="B17" s="41"/>
      <c r="C17" s="41" t="s">
        <v>16</v>
      </c>
      <c r="D17" s="41"/>
      <c r="E17" s="41"/>
      <c r="F17" s="41"/>
      <c r="G17" s="41"/>
      <c r="H17" s="41"/>
      <c r="I17" s="41"/>
      <c r="J17" s="42"/>
      <c r="K17" s="43"/>
      <c r="L17" s="38"/>
      <c r="M17" s="40"/>
      <c r="N17" s="41"/>
      <c r="O17" s="41" t="s">
        <v>16</v>
      </c>
      <c r="P17" s="41"/>
      <c r="Q17" s="41"/>
      <c r="R17" s="41"/>
      <c r="S17" s="41"/>
      <c r="T17" s="41"/>
      <c r="U17" s="41"/>
      <c r="V17" s="42"/>
      <c r="W17" s="43"/>
    </row>
    <row r="18" spans="1:23" ht="15" customHeight="1" x14ac:dyDescent="0.2">
      <c r="A18" s="27" t="str">
        <f>IF(ISNA(VLOOKUP(12,SPELERSINFO!$A$6:$F$34,1,FALSE)),"",IF(VLOOKUP(12,SPELERSINFO!$A$6:$F$34,3,FALSE)=0," ",VLOOKUP(12,SPELERSINFO!$A$6:$F$34,3,FALSE)))</f>
        <v xml:space="preserve"> </v>
      </c>
      <c r="B18" s="28"/>
      <c r="C18" s="27" t="str">
        <f>IF(ISNA(VLOOKUP(12,SPELERSINFO!$A$6:$F$34,1,FALSE)),"",LEFT(VLOOKUP(12,SPELERSINFO!$A$6:$F$34,4,FALSE),1))</f>
        <v>M</v>
      </c>
      <c r="D18" s="27" t="str">
        <f>IF(ISNA(VLOOKUP(12,SPELERSINFO!$A$6:$F$34,1,FALSE)),"",MID(VLOOKUP(12,SPELERSINFO!$A$6:$F$34,4,FALSE),2,1))</f>
        <v>P</v>
      </c>
      <c r="E18" s="27" t="str">
        <f>IF(ISNA(VLOOKUP(12,SPELERSINFO!$A$6:$F$34,1,FALSE)),"",MID(VLOOKUP(12,SPELERSINFO!$A$6:$F$34,4,FALSE),3,1))</f>
        <v>P</v>
      </c>
      <c r="F18" s="27" t="str">
        <f>IF(ISNA(VLOOKUP(12,SPELERSINFO!$A$6:$F$34,1,FALSE)),"",MID(VLOOKUP(12,SPELERSINFO!$A$6:$F$34,4,FALSE),4,1))</f>
        <v>H</v>
      </c>
      <c r="G18" s="27" t="str">
        <f>IF(ISNA(VLOOKUP(12,SPELERSINFO!$A$6:$F$34,1,FALSE)),"",MID(VLOOKUP(12,SPELERSINFO!$A$6:$F$34,4,FALSE),5,1))</f>
        <v>G</v>
      </c>
      <c r="H18" s="27" t="str">
        <f>IF(ISNA(VLOOKUP(12,SPELERSINFO!$A$6:$F$34,1,FALSE)),"",MID(VLOOKUP(12,SPELERSINFO!$A$6:$F$34,4,FALSE),6,1))</f>
        <v>9</v>
      </c>
      <c r="I18" s="27" t="str">
        <f>IF(ISNA(VLOOKUP(12,SPELERSINFO!$A$6:$F$34,1,FALSE)),"",MID(VLOOKUP(12,SPELERSINFO!$A$6:$F$34,4,FALSE),7,1))</f>
        <v>1</v>
      </c>
      <c r="J18" s="27" t="str">
        <f>IF(ISNA(VLOOKUP(12,SPELERSINFO!$A$6:$F$34,1,FALSE)),"",VLOOKUP(12,SPELERSINFO!$A$6:$F$34,6,FALSE))</f>
        <v>van Bokhoven</v>
      </c>
      <c r="K18" s="27" t="str">
        <f>IF(ISNA(VLOOKUP(12,SPELERSINFO!$A$6:$F$34,1,FALSE)),"",VLOOKUP(12,SPELERSINFO!$A$6:$F$34,5,FALSE))</f>
        <v>E.R.</v>
      </c>
      <c r="L18" s="29"/>
      <c r="M18" s="27" t="str">
        <f t="shared" ref="M18:W24" si="10">A18</f>
        <v xml:space="preserve"> </v>
      </c>
      <c r="N18" s="28"/>
      <c r="O18" s="30" t="str">
        <f t="shared" si="10"/>
        <v>M</v>
      </c>
      <c r="P18" s="31" t="str">
        <f t="shared" si="10"/>
        <v>P</v>
      </c>
      <c r="Q18" s="31" t="str">
        <f t="shared" si="10"/>
        <v>P</v>
      </c>
      <c r="R18" s="31" t="str">
        <f t="shared" si="10"/>
        <v>H</v>
      </c>
      <c r="S18" s="31" t="str">
        <f t="shared" si="10"/>
        <v>G</v>
      </c>
      <c r="T18" s="31" t="str">
        <f t="shared" si="10"/>
        <v>9</v>
      </c>
      <c r="U18" s="31" t="str">
        <f t="shared" si="10"/>
        <v>1</v>
      </c>
      <c r="V18" s="32" t="str">
        <f t="shared" si="10"/>
        <v>van Bokhoven</v>
      </c>
      <c r="W18" s="33" t="str">
        <f t="shared" si="10"/>
        <v>E.R.</v>
      </c>
    </row>
    <row r="19" spans="1:23" ht="15" customHeight="1" x14ac:dyDescent="0.2">
      <c r="A19" s="27" t="str">
        <f>IF(ISNA(VLOOKUP(13,SPELERSINFO!$A$6:$F$34,1,FALSE)),"",IF(VLOOKUP(13,SPELERSINFO!$A$6:$F$34,3,FALSE)=0," ",VLOOKUP(13,SPELERSINFO!$A$6:$F$34,3,FALSE)))</f>
        <v xml:space="preserve"> </v>
      </c>
      <c r="B19" s="28"/>
      <c r="C19" s="27" t="str">
        <f>IF(ISNA(VLOOKUP(13,SPELERSINFO!$A$6:$F$34,1,FALSE)),"",LEFT(VLOOKUP(13,SPELERSINFO!$A$6:$F$34,4,FALSE),1))</f>
        <v>M</v>
      </c>
      <c r="D19" s="27" t="str">
        <f>IF(ISNA(VLOOKUP(13,SPELERSINFO!$A$6:$F$34,1,FALSE)),"",MID(VLOOKUP(13,SPELERSINFO!$A$6:$F$34,4,FALSE),2,1))</f>
        <v>B</v>
      </c>
      <c r="E19" s="27" t="str">
        <f>IF(ISNA(VLOOKUP(13,SPELERSINFO!$A$6:$F$34,1,FALSE)),"",MID(VLOOKUP(13,SPELERSINFO!$A$6:$F$34,4,FALSE),3,1))</f>
        <v>C</v>
      </c>
      <c r="F19" s="27" t="str">
        <f>IF(ISNA(VLOOKUP(13,SPELERSINFO!$A$6:$F$34,1,FALSE)),"",MID(VLOOKUP(13,SPELERSINFO!$A$6:$F$34,4,FALSE),4,1))</f>
        <v>R</v>
      </c>
      <c r="G19" s="27" t="str">
        <f>IF(ISNA(VLOOKUP(13,SPELERSINFO!$A$6:$F$34,1,FALSE)),"",MID(VLOOKUP(13,SPELERSINFO!$A$6:$F$34,4,FALSE),5,1))</f>
        <v>T</v>
      </c>
      <c r="H19" s="27" t="str">
        <f>IF(ISNA(VLOOKUP(13,SPELERSINFO!$A$6:$F$34,1,FALSE)),"",MID(VLOOKUP(13,SPELERSINFO!$A$6:$F$34,4,FALSE),6,1))</f>
        <v>6</v>
      </c>
      <c r="I19" s="27" t="str">
        <f>IF(ISNA(VLOOKUP(13,SPELERSINFO!$A$6:$F$34,1,FALSE)),"",MID(VLOOKUP(13,SPELERSINFO!$A$6:$F$34,4,FALSE),7,1))</f>
        <v>6</v>
      </c>
      <c r="J19" s="27" t="str">
        <f>IF(ISNA(VLOOKUP(13,SPELERSINFO!$A$6:$F$34,1,FALSE)),"",VLOOKUP(13,SPELERSINFO!$A$6:$F$34,6,FALSE))</f>
        <v>Vissers</v>
      </c>
      <c r="K19" s="27" t="str">
        <f>IF(ISNA(VLOOKUP(13,SPELERSINFO!$A$6:$F$34,1,FALSE)),"",VLOOKUP(13,SPELERSINFO!$A$6:$F$34,5,FALSE))</f>
        <v>P.H.</v>
      </c>
      <c r="L19" s="29"/>
      <c r="M19" s="27" t="str">
        <f t="shared" si="10"/>
        <v xml:space="preserve"> </v>
      </c>
      <c r="N19" s="28"/>
      <c r="O19" s="30" t="str">
        <f t="shared" si="10"/>
        <v>M</v>
      </c>
      <c r="P19" s="31" t="str">
        <f t="shared" si="10"/>
        <v>B</v>
      </c>
      <c r="Q19" s="31" t="str">
        <f t="shared" si="10"/>
        <v>C</v>
      </c>
      <c r="R19" s="31" t="str">
        <f t="shared" si="10"/>
        <v>R</v>
      </c>
      <c r="S19" s="31" t="str">
        <f t="shared" si="10"/>
        <v>T</v>
      </c>
      <c r="T19" s="31" t="str">
        <f t="shared" si="10"/>
        <v>6</v>
      </c>
      <c r="U19" s="31" t="str">
        <f t="shared" si="10"/>
        <v>6</v>
      </c>
      <c r="V19" s="32" t="str">
        <f t="shared" si="10"/>
        <v>Vissers</v>
      </c>
      <c r="W19" s="33" t="str">
        <f t="shared" si="10"/>
        <v>P.H.</v>
      </c>
    </row>
    <row r="20" spans="1:23" ht="15" customHeight="1" x14ac:dyDescent="0.2">
      <c r="A20" s="27" t="str">
        <f>IF(ISNA(VLOOKUP(14,SPELERSINFO!$A$6:$F$34,1,FALSE)),"",IF(VLOOKUP(14,SPELERSINFO!$A$6:$F$34,3,FALSE)=0," ",VLOOKUP(14,SPELERSINFO!$A$6:$F$34,3,FALSE)))</f>
        <v xml:space="preserve"> </v>
      </c>
      <c r="B20" s="28"/>
      <c r="C20" s="27" t="str">
        <f>IF(ISNA(VLOOKUP(14,SPELERSINFO!$A$6:$F$34,1,FALSE)),"",LEFT(VLOOKUP(14,SPELERSINFO!$A$6:$F$34,4,FALSE),1))</f>
        <v>M</v>
      </c>
      <c r="D20" s="27" t="str">
        <f>IF(ISNA(VLOOKUP(14,SPELERSINFO!$A$6:$F$34,1,FALSE)),"",MID(VLOOKUP(14,SPELERSINFO!$A$6:$F$34,4,FALSE),2,1))</f>
        <v>G</v>
      </c>
      <c r="E20" s="27" t="str">
        <f>IF(ISNA(VLOOKUP(14,SPELERSINFO!$A$6:$F$34,1,FALSE)),"",MID(VLOOKUP(14,SPELERSINFO!$A$6:$F$34,4,FALSE),3,1))</f>
        <v>G</v>
      </c>
      <c r="F20" s="27" t="str">
        <f>IF(ISNA(VLOOKUP(14,SPELERSINFO!$A$6:$F$34,1,FALSE)),"",MID(VLOOKUP(14,SPELERSINFO!$A$6:$F$34,4,FALSE),4,1))</f>
        <v>F</v>
      </c>
      <c r="G20" s="27" t="str">
        <f>IF(ISNA(VLOOKUP(14,SPELERSINFO!$A$6:$F$34,1,FALSE)),"",MID(VLOOKUP(14,SPELERSINFO!$A$6:$F$34,4,FALSE),5,1))</f>
        <v>P</v>
      </c>
      <c r="H20" s="27" t="str">
        <f>IF(ISNA(VLOOKUP(14,SPELERSINFO!$A$6:$F$34,1,FALSE)),"",MID(VLOOKUP(14,SPELERSINFO!$A$6:$F$34,4,FALSE),6,1))</f>
        <v>9</v>
      </c>
      <c r="I20" s="27" t="str">
        <f>IF(ISNA(VLOOKUP(14,SPELERSINFO!$A$6:$F$34,1,FALSE)),"",MID(VLOOKUP(14,SPELERSINFO!$A$6:$F$34,4,FALSE),7,1))</f>
        <v>4</v>
      </c>
      <c r="J20" s="27" t="str">
        <f>IF(ISNA(VLOOKUP(14,SPELERSINFO!$A$6:$F$34,1,FALSE)),"",VLOOKUP(14,SPELERSINFO!$A$6:$F$34,6,FALSE))</f>
        <v>Klein</v>
      </c>
      <c r="K20" s="27" t="str">
        <f>IF(ISNA(VLOOKUP(14,SPELERSINFO!$A$6:$F$34,1,FALSE)),"",VLOOKUP(14,SPELERSINFO!$A$6:$F$34,5,FALSE))</f>
        <v>A</v>
      </c>
      <c r="L20" s="29"/>
      <c r="M20" s="27" t="str">
        <f t="shared" si="10"/>
        <v xml:space="preserve"> </v>
      </c>
      <c r="N20" s="28"/>
      <c r="O20" s="44" t="str">
        <f t="shared" si="10"/>
        <v>M</v>
      </c>
      <c r="P20" s="33" t="str">
        <f t="shared" si="10"/>
        <v>G</v>
      </c>
      <c r="Q20" s="33" t="str">
        <f t="shared" si="10"/>
        <v>G</v>
      </c>
      <c r="R20" s="33" t="str">
        <f t="shared" si="10"/>
        <v>F</v>
      </c>
      <c r="S20" s="33" t="str">
        <f t="shared" si="10"/>
        <v>P</v>
      </c>
      <c r="T20" s="33" t="str">
        <f t="shared" si="10"/>
        <v>9</v>
      </c>
      <c r="U20" s="33" t="str">
        <f t="shared" si="10"/>
        <v>4</v>
      </c>
      <c r="V20" s="32" t="str">
        <f t="shared" si="10"/>
        <v>Klein</v>
      </c>
      <c r="W20" s="33" t="str">
        <f t="shared" si="10"/>
        <v>A</v>
      </c>
    </row>
    <row r="21" spans="1:23" ht="13.9" customHeight="1" x14ac:dyDescent="0.2">
      <c r="A21" s="27" t="str">
        <f>IF(ISNA(VLOOKUP(15,SPELERSINFO!$A$6:$F$34,1,FALSE)),"",IF(VLOOKUP(15,SPELERSINFO!$A$6:$F$34,3,FALSE)=0," ",VLOOKUP(15,SPELERSINFO!$A$6:$F$34,3,FALSE)))</f>
        <v/>
      </c>
      <c r="B21" s="28"/>
      <c r="C21" s="27" t="str">
        <f>IF(ISNA(VLOOKUP(15,SPELERSINFO!$A$6:$F$34,1,FALSE)),"",LEFT(VLOOKUP(15,SPELERSINFO!$A$6:$F$34,4,FALSE),1))</f>
        <v/>
      </c>
      <c r="D21" s="27" t="str">
        <f>IF(ISNA(VLOOKUP(15,SPELERSINFO!$A$6:$F$34,1,FALSE)),"",MID(VLOOKUP(15,SPELERSINFO!$A$6:$F$34,4,FALSE),2,1))</f>
        <v/>
      </c>
      <c r="E21" s="27" t="str">
        <f>IF(ISNA(VLOOKUP(15,SPELERSINFO!$A$6:$F$34,1,FALSE)),"",MID(VLOOKUP(15,SPELERSINFO!$A$6:$F$34,4,FALSE),3,1))</f>
        <v/>
      </c>
      <c r="F21" s="27" t="str">
        <f>IF(ISNA(VLOOKUP(15,SPELERSINFO!$A$6:$F$34,1,FALSE)),"",MID(VLOOKUP(15,SPELERSINFO!$A$6:$F$34,4,FALSE),4,1))</f>
        <v/>
      </c>
      <c r="G21" s="27" t="str">
        <f>IF(ISNA(VLOOKUP(15,SPELERSINFO!$A$6:$F$34,1,FALSE)),"",MID(VLOOKUP(15,SPELERSINFO!$A$6:$F$34,4,FALSE),5,1))</f>
        <v/>
      </c>
      <c r="H21" s="27" t="str">
        <f>IF(ISNA(VLOOKUP(15,SPELERSINFO!$A$6:$F$34,1,FALSE)),"",MID(VLOOKUP(15,SPELERSINFO!$A$6:$F$34,4,FALSE),6,1))</f>
        <v/>
      </c>
      <c r="I21" s="27" t="str">
        <f>IF(ISNA(VLOOKUP(15,SPELERSINFO!$A$6:$F$34,1,FALSE)),"",MID(VLOOKUP(15,SPELERSINFO!$A$6:$F$34,4,FALSE),7,1))</f>
        <v/>
      </c>
      <c r="J21" s="27" t="str">
        <f>IF(ISNA(VLOOKUP(15,SPELERSINFO!$A$6:$F$34,1,FALSE)),"",VLOOKUP(15,SPELERSINFO!$A$6:$F$34,6,FALSE))</f>
        <v/>
      </c>
      <c r="K21" s="27" t="str">
        <f>IF(ISNA(VLOOKUP(15,SPELERSINFO!$A$6:$F$34,1,FALSE)),"",VLOOKUP(15,SPELERSINFO!$A$6:$F$34,5,FALSE))</f>
        <v/>
      </c>
      <c r="L21" s="29"/>
      <c r="M21" s="27" t="str">
        <f t="shared" si="10"/>
        <v/>
      </c>
      <c r="N21" s="28"/>
      <c r="O21" s="44" t="str">
        <f t="shared" si="10"/>
        <v/>
      </c>
      <c r="P21" s="33" t="str">
        <f t="shared" si="10"/>
        <v/>
      </c>
      <c r="Q21" s="33" t="str">
        <f t="shared" si="10"/>
        <v/>
      </c>
      <c r="R21" s="33" t="str">
        <f t="shared" si="10"/>
        <v/>
      </c>
      <c r="S21" s="33" t="str">
        <f t="shared" si="10"/>
        <v/>
      </c>
      <c r="T21" s="33" t="str">
        <f t="shared" si="10"/>
        <v/>
      </c>
      <c r="U21" s="33" t="str">
        <f t="shared" si="10"/>
        <v/>
      </c>
      <c r="V21" s="32" t="str">
        <f t="shared" si="10"/>
        <v/>
      </c>
      <c r="W21" s="33" t="str">
        <f t="shared" si="10"/>
        <v/>
      </c>
    </row>
    <row r="22" spans="1:23" ht="13.9" customHeight="1" x14ac:dyDescent="0.2">
      <c r="A22" s="27" t="str">
        <f>IF(ISNA(VLOOKUP(16,SPELERSINFO!$A$6:$F$34,1,FALSE)),"",IF(VLOOKUP(16,SPELERSINFO!$A$6:$F$34,3,FALSE)=0," ",VLOOKUP(16,SPELERSINFO!$A$6:$F$34,3,FALSE)))</f>
        <v/>
      </c>
      <c r="B22" s="28"/>
      <c r="C22" s="27" t="str">
        <f>IF(ISNA(VLOOKUP(16,SPELERSINFO!$A$6:$F$34,1,FALSE)),"",LEFT(VLOOKUP(16,SPELERSINFO!$A$6:$F$34,4,FALSE),1))</f>
        <v/>
      </c>
      <c r="D22" s="27" t="str">
        <f>IF(ISNA(VLOOKUP(16,SPELERSINFO!$A$6:$F$34,1,FALSE)),"",MID(VLOOKUP(16,SPELERSINFO!$A$6:$F$34,4,FALSE),2,1))</f>
        <v/>
      </c>
      <c r="E22" s="27" t="str">
        <f>IF(ISNA(VLOOKUP(16,SPELERSINFO!$A$6:$F$34,1,FALSE)),"",MID(VLOOKUP(16,SPELERSINFO!$A$6:$F$34,4,FALSE),3,1))</f>
        <v/>
      </c>
      <c r="F22" s="27" t="str">
        <f>IF(ISNA(VLOOKUP(16,SPELERSINFO!$A$6:$F$34,1,FALSE)),"",MID(VLOOKUP(16,SPELERSINFO!$A$6:$F$34,4,FALSE),4,1))</f>
        <v/>
      </c>
      <c r="G22" s="27" t="str">
        <f>IF(ISNA(VLOOKUP(16,SPELERSINFO!$A$6:$F$34,1,FALSE)),"",MID(VLOOKUP(16,SPELERSINFO!$A$6:$F$34,4,FALSE),5,1))</f>
        <v/>
      </c>
      <c r="H22" s="27" t="str">
        <f>IF(ISNA(VLOOKUP(16,SPELERSINFO!$A$6:$F$34,1,FALSE)),"",MID(VLOOKUP(16,SPELERSINFO!$A$6:$F$34,4,FALSE),6,1))</f>
        <v/>
      </c>
      <c r="I22" s="27" t="str">
        <f>IF(ISNA(VLOOKUP(16,SPELERSINFO!$A$6:$F$34,1,FALSE)),"",MID(VLOOKUP(16,SPELERSINFO!$A$6:$F$34,4,FALSE),7,1))</f>
        <v/>
      </c>
      <c r="J22" s="27" t="str">
        <f>IF(ISNA(VLOOKUP(16,SPELERSINFO!$A$6:$F$34,1,FALSE)),"",VLOOKUP(16,SPELERSINFO!$A$6:$F$34,6,FALSE))</f>
        <v/>
      </c>
      <c r="K22" s="27" t="str">
        <f>IF(ISNA(VLOOKUP(16,SPELERSINFO!$A$6:$F$34,1,FALSE)),"",VLOOKUP(16,SPELERSINFO!$A$6:$F$34,5,FALSE))</f>
        <v/>
      </c>
      <c r="L22" s="29"/>
      <c r="M22" s="27" t="str">
        <f t="shared" si="10"/>
        <v/>
      </c>
      <c r="N22" s="28"/>
      <c r="O22" s="44" t="str">
        <f t="shared" si="10"/>
        <v/>
      </c>
      <c r="P22" s="33" t="str">
        <f t="shared" si="10"/>
        <v/>
      </c>
      <c r="Q22" s="33" t="str">
        <f t="shared" si="10"/>
        <v/>
      </c>
      <c r="R22" s="33" t="str">
        <f t="shared" si="10"/>
        <v/>
      </c>
      <c r="S22" s="33" t="str">
        <f t="shared" si="10"/>
        <v/>
      </c>
      <c r="T22" s="33" t="str">
        <f t="shared" si="10"/>
        <v/>
      </c>
      <c r="U22" s="33" t="str">
        <f t="shared" si="10"/>
        <v/>
      </c>
      <c r="V22" s="32" t="str">
        <f t="shared" si="10"/>
        <v/>
      </c>
      <c r="W22" s="33" t="str">
        <f t="shared" si="10"/>
        <v/>
      </c>
    </row>
    <row r="23" spans="1:23" ht="13.9" customHeight="1" x14ac:dyDescent="0.2">
      <c r="A23" s="27" t="str">
        <f>IF(ISNA(VLOOKUP(17,SPELERSINFO!$A$6:$F$34,1,FALSE)),"",IF(VLOOKUP(17,SPELERSINFO!$A$6:$F$34,3,FALSE)=0," ",VLOOKUP(17,SPELERSINFO!$A$6:$F$34,3,FALSE)))</f>
        <v/>
      </c>
      <c r="B23" s="28"/>
      <c r="C23" s="27" t="str">
        <f>IF(ISNA(VLOOKUP(17,SPELERSINFO!$A$6:$F$34,1,FALSE)),"",LEFT(VLOOKUP(17,SPELERSINFO!$A$6:$F$34,4,FALSE),1))</f>
        <v/>
      </c>
      <c r="D23" s="27" t="str">
        <f>IF(ISNA(VLOOKUP(17,SPELERSINFO!$A$6:$F$34,1,FALSE)),"",MID(VLOOKUP(17,SPELERSINFO!$A$6:$F$34,4,FALSE),2,1))</f>
        <v/>
      </c>
      <c r="E23" s="27" t="str">
        <f>IF(ISNA(VLOOKUP(17,SPELERSINFO!$A$6:$F$34,1,FALSE)),"",MID(VLOOKUP(17,SPELERSINFO!$A$6:$F$34,4,FALSE),3,1))</f>
        <v/>
      </c>
      <c r="F23" s="27" t="str">
        <f>IF(ISNA(VLOOKUP(17,SPELERSINFO!$A$6:$F$34,1,FALSE)),"",MID(VLOOKUP(17,SPELERSINFO!$A$6:$F$34,4,FALSE),4,1))</f>
        <v/>
      </c>
      <c r="G23" s="27" t="str">
        <f>IF(ISNA(VLOOKUP(17,SPELERSINFO!$A$6:$F$34,1,FALSE)),"",MID(VLOOKUP(17,SPELERSINFO!$A$6:$F$34,4,FALSE),5,1))</f>
        <v/>
      </c>
      <c r="H23" s="27" t="str">
        <f>IF(ISNA(VLOOKUP(17,SPELERSINFO!$A$6:$F$34,1,FALSE)),"",MID(VLOOKUP(17,SPELERSINFO!$A$6:$F$34,4,FALSE),6,1))</f>
        <v/>
      </c>
      <c r="I23" s="27" t="str">
        <f>IF(ISNA(VLOOKUP(17,SPELERSINFO!$A$6:$F$34,1,FALSE)),"",MID(VLOOKUP(17,SPELERSINFO!$A$6:$F$34,4,FALSE),7,1))</f>
        <v/>
      </c>
      <c r="J23" s="27" t="str">
        <f>IF(ISNA(VLOOKUP(17,SPELERSINFO!$A$6:$F$34,1,FALSE)),"",VLOOKUP(17,SPELERSINFO!$A$6:$F$34,6,FALSE))</f>
        <v/>
      </c>
      <c r="K23" s="27" t="str">
        <f>IF(ISNA(VLOOKUP(17,SPELERSINFO!$A$6:$F$34,1,FALSE)),"",VLOOKUP(17,SPELERSINFO!$A$6:$F$34,5,FALSE))</f>
        <v/>
      </c>
      <c r="L23" s="29"/>
      <c r="M23" s="27" t="str">
        <f t="shared" si="10"/>
        <v/>
      </c>
      <c r="N23" s="28"/>
      <c r="O23" s="44" t="str">
        <f t="shared" si="10"/>
        <v/>
      </c>
      <c r="P23" s="33" t="str">
        <f t="shared" si="10"/>
        <v/>
      </c>
      <c r="Q23" s="33" t="str">
        <f t="shared" si="10"/>
        <v/>
      </c>
      <c r="R23" s="33" t="str">
        <f t="shared" si="10"/>
        <v/>
      </c>
      <c r="S23" s="33" t="str">
        <f t="shared" si="10"/>
        <v/>
      </c>
      <c r="T23" s="33" t="str">
        <f t="shared" si="10"/>
        <v/>
      </c>
      <c r="U23" s="33" t="str">
        <f t="shared" si="10"/>
        <v/>
      </c>
      <c r="V23" s="32" t="str">
        <f t="shared" si="10"/>
        <v/>
      </c>
      <c r="W23" s="33" t="str">
        <f t="shared" si="10"/>
        <v/>
      </c>
    </row>
    <row r="24" spans="1:23" ht="13.9" customHeight="1" x14ac:dyDescent="0.2">
      <c r="A24" s="27" t="str">
        <f>IF(ISNA(VLOOKUP(18,SPELERSINFO!$A$6:$F$34,1,FALSE)),"",IF(VLOOKUP(18,SPELERSINFO!$A$6:$F$34,3,FALSE)=0," ",VLOOKUP(18,SPELERSINFO!$A$6:$F$34,3,FALSE)))</f>
        <v/>
      </c>
      <c r="B24" s="28"/>
      <c r="C24" s="27" t="str">
        <f>IF(ISNA(VLOOKUP(18,SPELERSINFO!$A$6:$F$34,1,FALSE)),"",LEFT(VLOOKUP(18,SPELERSINFO!$A$6:$F$34,4,FALSE),1))</f>
        <v/>
      </c>
      <c r="D24" s="27" t="str">
        <f>IF(ISNA(VLOOKUP(18,SPELERSINFO!$A$6:$F$34,1,FALSE)),"",MID(VLOOKUP(18,SPELERSINFO!$A$6:$F$34,4,FALSE),2,1))</f>
        <v/>
      </c>
      <c r="E24" s="27" t="str">
        <f>IF(ISNA(VLOOKUP(18,SPELERSINFO!$A$6:$F$34,1,FALSE)),"",MID(VLOOKUP(18,SPELERSINFO!$A$6:$F$34,4,FALSE),3,1))</f>
        <v/>
      </c>
      <c r="F24" s="27" t="str">
        <f>IF(ISNA(VLOOKUP(18,SPELERSINFO!$A$6:$F$34,1,FALSE)),"",MID(VLOOKUP(18,SPELERSINFO!$A$6:$F$34,4,FALSE),4,1))</f>
        <v/>
      </c>
      <c r="G24" s="27" t="str">
        <f>IF(ISNA(VLOOKUP(18,SPELERSINFO!$A$6:$F$34,1,FALSE)),"",MID(VLOOKUP(18,SPELERSINFO!$A$6:$F$34,4,FALSE),5,1))</f>
        <v/>
      </c>
      <c r="H24" s="27" t="str">
        <f>IF(ISNA(VLOOKUP(18,SPELERSINFO!$A$6:$F$34,1,FALSE)),"",MID(VLOOKUP(18,SPELERSINFO!$A$6:$F$34,4,FALSE),6,1))</f>
        <v/>
      </c>
      <c r="I24" s="27" t="str">
        <f>IF(ISNA(VLOOKUP(18,SPELERSINFO!$A$6:$F$34,1,FALSE)),"",MID(VLOOKUP(18,SPELERSINFO!$A$6:$F$34,4,FALSE),7,1))</f>
        <v/>
      </c>
      <c r="J24" s="27" t="str">
        <f>IF(ISNA(VLOOKUP(18,SPELERSINFO!$A$6:$F$34,1,FALSE)),"",VLOOKUP(18,SPELERSINFO!$A$6:$F$34,6,FALSE))</f>
        <v/>
      </c>
      <c r="K24" s="27" t="str">
        <f>IF(ISNA(VLOOKUP(18,SPELERSINFO!$A$6:$F$34,1,FALSE)),"",VLOOKUP(18,SPELERSINFO!$A$6:$F$34,5,FALSE))</f>
        <v/>
      </c>
      <c r="L24" s="29"/>
      <c r="M24" s="27" t="str">
        <f t="shared" si="10"/>
        <v/>
      </c>
      <c r="N24" s="28"/>
      <c r="O24" s="44" t="str">
        <f t="shared" si="10"/>
        <v/>
      </c>
      <c r="P24" s="33" t="str">
        <f t="shared" si="10"/>
        <v/>
      </c>
      <c r="Q24" s="33" t="str">
        <f t="shared" si="10"/>
        <v/>
      </c>
      <c r="R24" s="33" t="str">
        <f t="shared" si="10"/>
        <v/>
      </c>
      <c r="S24" s="33" t="str">
        <f t="shared" si="10"/>
        <v/>
      </c>
      <c r="T24" s="33" t="str">
        <f t="shared" si="10"/>
        <v/>
      </c>
      <c r="U24" s="33" t="str">
        <f t="shared" si="10"/>
        <v/>
      </c>
      <c r="V24" s="32" t="str">
        <f t="shared" si="10"/>
        <v/>
      </c>
      <c r="W24" s="33" t="str">
        <f t="shared" si="10"/>
        <v/>
      </c>
    </row>
    <row r="25" spans="1:23" s="51" customFormat="1" ht="12" customHeight="1" x14ac:dyDescent="0.2">
      <c r="A25" s="45" t="s">
        <v>17</v>
      </c>
      <c r="B25" s="46"/>
      <c r="C25" s="47"/>
      <c r="D25" s="47"/>
      <c r="E25" s="47"/>
      <c r="F25" s="47"/>
      <c r="G25" s="47"/>
      <c r="H25" s="47"/>
      <c r="I25" s="47"/>
      <c r="J25" s="48"/>
      <c r="K25" s="49"/>
      <c r="L25" s="50"/>
      <c r="M25" s="45" t="s">
        <v>17</v>
      </c>
      <c r="N25" s="46"/>
      <c r="O25" s="47"/>
      <c r="P25" s="47"/>
      <c r="Q25" s="47"/>
      <c r="R25" s="47"/>
      <c r="S25" s="47"/>
      <c r="T25" s="47"/>
      <c r="U25" s="47"/>
      <c r="V25" s="48"/>
      <c r="W25" s="49"/>
    </row>
    <row r="26" spans="1:23" s="51" customFormat="1" ht="12" customHeight="1" x14ac:dyDescent="0.2">
      <c r="A26" s="52" t="s">
        <v>18</v>
      </c>
      <c r="B26" s="53"/>
      <c r="C26" s="50"/>
      <c r="D26" s="50"/>
      <c r="E26" s="50"/>
      <c r="F26" s="50"/>
      <c r="G26" s="50"/>
      <c r="H26" s="50"/>
      <c r="I26" s="50"/>
      <c r="J26" s="54"/>
      <c r="K26" s="55"/>
      <c r="L26" s="50"/>
      <c r="M26" s="52" t="s">
        <v>18</v>
      </c>
      <c r="N26" s="53"/>
      <c r="O26" s="50"/>
      <c r="P26" s="50"/>
      <c r="Q26" s="50"/>
      <c r="R26" s="50"/>
      <c r="S26" s="50"/>
      <c r="T26" s="50"/>
      <c r="U26" s="50"/>
      <c r="V26" s="54"/>
      <c r="W26" s="55"/>
    </row>
    <row r="27" spans="1:23" s="51" customFormat="1" ht="12.75" x14ac:dyDescent="0.2">
      <c r="A27" s="56" t="s">
        <v>19</v>
      </c>
      <c r="B27" s="53"/>
      <c r="C27" s="50"/>
      <c r="D27" s="50"/>
      <c r="E27" s="50"/>
      <c r="F27" s="50"/>
      <c r="G27" s="50"/>
      <c r="H27" s="50"/>
      <c r="I27" s="50"/>
      <c r="J27" s="54"/>
      <c r="K27" s="55"/>
      <c r="L27" s="50"/>
      <c r="M27" s="56" t="s">
        <v>19</v>
      </c>
      <c r="N27" s="53"/>
      <c r="O27" s="50"/>
      <c r="P27" s="50"/>
      <c r="Q27" s="50"/>
      <c r="R27" s="50"/>
      <c r="S27" s="50"/>
      <c r="T27" s="50"/>
      <c r="U27" s="50"/>
      <c r="V27" s="54"/>
      <c r="W27" s="55"/>
    </row>
    <row r="28" spans="1:23" s="63" customFormat="1" ht="12.75" customHeight="1" x14ac:dyDescent="0.25">
      <c r="A28" s="57" t="s">
        <v>10</v>
      </c>
      <c r="B28" s="58"/>
      <c r="C28" s="27" t="str">
        <f>LEFT(SPELERSINFO!$D$3,1)</f>
        <v>M</v>
      </c>
      <c r="D28" s="27" t="str">
        <f>MID(SPELERSINFO!$D$3,2,1)</f>
        <v>L</v>
      </c>
      <c r="E28" s="27" t="str">
        <f>MID(SPELERSINFO!$D$3,3,1)</f>
        <v>B</v>
      </c>
      <c r="F28" s="27" t="str">
        <f>MID(SPELERSINFO!$D$3,4,1)</f>
        <v>E</v>
      </c>
      <c r="G28" s="27" t="str">
        <f>MID(SPELERSINFO!$D$3,5,1)</f>
        <v>1</v>
      </c>
      <c r="H28" s="27" t="str">
        <f>MID(SPELERSINFO!$D$3,6,1)</f>
        <v>0</v>
      </c>
      <c r="I28" s="27" t="str">
        <f>MID(SPELERSINFO!$D$3,7,1)</f>
        <v>K</v>
      </c>
      <c r="J28" s="59"/>
      <c r="K28" s="60"/>
      <c r="L28" s="61"/>
      <c r="M28" s="57" t="s">
        <v>10</v>
      </c>
      <c r="N28" s="58"/>
      <c r="O28" s="62" t="str">
        <f t="shared" ref="O28:U28" si="11">C28</f>
        <v>M</v>
      </c>
      <c r="P28" s="62" t="str">
        <f t="shared" si="11"/>
        <v>L</v>
      </c>
      <c r="Q28" s="62" t="str">
        <f t="shared" si="11"/>
        <v>B</v>
      </c>
      <c r="R28" s="62" t="str">
        <f t="shared" si="11"/>
        <v>E</v>
      </c>
      <c r="S28" s="62" t="str">
        <f t="shared" si="11"/>
        <v>1</v>
      </c>
      <c r="T28" s="62" t="str">
        <f t="shared" si="11"/>
        <v>0</v>
      </c>
      <c r="U28" s="62" t="str">
        <f t="shared" si="11"/>
        <v>K</v>
      </c>
      <c r="V28" s="59"/>
      <c r="W28" s="60"/>
    </row>
    <row r="29" spans="1:23" s="63" customFormat="1" ht="6" customHeight="1" x14ac:dyDescent="0.25">
      <c r="A29" s="64"/>
      <c r="B29" s="65"/>
      <c r="C29" s="66"/>
      <c r="D29" s="66"/>
      <c r="E29" s="66"/>
      <c r="F29" s="66"/>
      <c r="G29" s="66"/>
      <c r="H29" s="66"/>
      <c r="I29" s="66"/>
      <c r="J29" s="67"/>
      <c r="K29" s="68"/>
      <c r="L29" s="61"/>
      <c r="M29" s="64"/>
      <c r="N29" s="65"/>
      <c r="O29" s="66"/>
      <c r="P29" s="66"/>
      <c r="Q29" s="66"/>
      <c r="R29" s="66"/>
      <c r="S29" s="66"/>
      <c r="T29" s="66"/>
      <c r="U29" s="66"/>
      <c r="V29" s="67"/>
      <c r="W29" s="68"/>
    </row>
    <row r="30" spans="1:23" s="63" customFormat="1" ht="44.1" customHeight="1" x14ac:dyDescent="0.25">
      <c r="C30" s="69"/>
      <c r="D30" s="69"/>
      <c r="E30" s="69"/>
      <c r="F30" s="69"/>
      <c r="G30" s="69"/>
      <c r="H30" s="69"/>
      <c r="I30" s="69"/>
      <c r="J30" s="70"/>
      <c r="K30" s="69"/>
      <c r="L30" s="61"/>
    </row>
    <row r="31" spans="1:23" s="63" customFormat="1" ht="16.899999999999999" customHeight="1" x14ac:dyDescent="0.25">
      <c r="A31" s="82" t="str">
        <f>+A1</f>
        <v>VV Schoonhoven</v>
      </c>
      <c r="B31" s="82"/>
      <c r="C31" s="82"/>
      <c r="D31" s="82"/>
      <c r="E31" s="82"/>
      <c r="F31" s="82"/>
      <c r="G31" s="82"/>
      <c r="H31" s="82"/>
      <c r="I31" s="82"/>
      <c r="J31" s="80" t="str">
        <f>+J1</f>
        <v>Rel.nr. BBDX69U</v>
      </c>
      <c r="K31" s="80"/>
      <c r="L31" s="61"/>
      <c r="M31" s="82" t="str">
        <f>+M1</f>
        <v>VV Schoonhoven</v>
      </c>
      <c r="N31" s="82"/>
      <c r="O31" s="82"/>
      <c r="P31" s="82"/>
      <c r="Q31" s="82"/>
      <c r="R31" s="82"/>
      <c r="S31" s="82"/>
      <c r="T31" s="82"/>
      <c r="U31" s="82"/>
      <c r="V31" s="80" t="str">
        <f>+V1</f>
        <v>Rel.nr. BBDX69U</v>
      </c>
      <c r="W31" s="80"/>
    </row>
    <row r="32" spans="1:23" s="11" customFormat="1" ht="9.9499999999999993" customHeight="1" x14ac:dyDescent="0.15">
      <c r="A32" s="12" t="s">
        <v>8</v>
      </c>
      <c r="B32" s="13" t="s">
        <v>9</v>
      </c>
      <c r="C32" s="14" t="s">
        <v>10</v>
      </c>
      <c r="D32" s="15"/>
      <c r="E32" s="15"/>
      <c r="F32" s="15"/>
      <c r="G32" s="15"/>
      <c r="H32" s="15"/>
      <c r="I32" s="16"/>
      <c r="J32" s="17" t="s">
        <v>11</v>
      </c>
      <c r="K32" s="18" t="s">
        <v>12</v>
      </c>
      <c r="L32" s="71"/>
      <c r="M32" s="12" t="s">
        <v>8</v>
      </c>
      <c r="N32" s="13" t="s">
        <v>9</v>
      </c>
      <c r="O32" s="14" t="s">
        <v>10</v>
      </c>
      <c r="P32" s="15"/>
      <c r="Q32" s="15"/>
      <c r="R32" s="15"/>
      <c r="S32" s="15"/>
      <c r="T32" s="15"/>
      <c r="U32" s="16"/>
      <c r="V32" s="17" t="s">
        <v>11</v>
      </c>
      <c r="W32" s="18" t="s">
        <v>12</v>
      </c>
    </row>
    <row r="33" spans="1:23" s="11" customFormat="1" ht="9.9499999999999993" customHeight="1" x14ac:dyDescent="0.15">
      <c r="A33" s="19" t="s">
        <v>13</v>
      </c>
      <c r="B33" s="20"/>
      <c r="C33" s="24"/>
      <c r="D33" s="25"/>
      <c r="E33" s="25"/>
      <c r="F33" s="25"/>
      <c r="G33" s="25"/>
      <c r="H33" s="25"/>
      <c r="I33" s="26"/>
      <c r="J33" s="21"/>
      <c r="K33" s="22"/>
      <c r="L33" s="72"/>
      <c r="M33" s="19" t="s">
        <v>13</v>
      </c>
      <c r="N33" s="20"/>
      <c r="O33" s="24"/>
      <c r="P33" s="25"/>
      <c r="Q33" s="25"/>
      <c r="R33" s="25"/>
      <c r="S33" s="25"/>
      <c r="T33" s="25"/>
      <c r="U33" s="26"/>
      <c r="V33" s="21"/>
      <c r="W33" s="22"/>
    </row>
    <row r="34" spans="1:23" s="63" customFormat="1" ht="15" customHeight="1" x14ac:dyDescent="0.25">
      <c r="A34" s="27" t="str">
        <f t="shared" ref="A34:A44" si="12">A4</f>
        <v xml:space="preserve"> </v>
      </c>
      <c r="B34" s="28"/>
      <c r="C34" s="30" t="str">
        <f t="shared" ref="C34:K34" si="13">C4</f>
        <v>M</v>
      </c>
      <c r="D34" s="31" t="str">
        <f t="shared" si="13"/>
        <v>L</v>
      </c>
      <c r="E34" s="31" t="str">
        <f t="shared" si="13"/>
        <v>B</v>
      </c>
      <c r="F34" s="31" t="str">
        <f t="shared" si="13"/>
        <v>E</v>
      </c>
      <c r="G34" s="31" t="str">
        <f t="shared" si="13"/>
        <v>1</v>
      </c>
      <c r="H34" s="31" t="str">
        <f t="shared" si="13"/>
        <v>0</v>
      </c>
      <c r="I34" s="31" t="str">
        <f t="shared" si="13"/>
        <v>K</v>
      </c>
      <c r="J34" s="32" t="str">
        <f t="shared" si="13"/>
        <v>vd Laan</v>
      </c>
      <c r="K34" s="33" t="str">
        <f t="shared" si="13"/>
        <v>K</v>
      </c>
      <c r="L34" s="73"/>
      <c r="M34" s="27" t="str">
        <f t="shared" ref="M34:M44" si="14">M4</f>
        <v xml:space="preserve"> </v>
      </c>
      <c r="N34" s="28"/>
      <c r="O34" s="30" t="str">
        <f t="shared" ref="O34:W34" si="15">O4</f>
        <v>M</v>
      </c>
      <c r="P34" s="31" t="str">
        <f t="shared" si="15"/>
        <v>L</v>
      </c>
      <c r="Q34" s="31" t="str">
        <f t="shared" si="15"/>
        <v>B</v>
      </c>
      <c r="R34" s="31" t="str">
        <f t="shared" si="15"/>
        <v>E</v>
      </c>
      <c r="S34" s="31" t="str">
        <f t="shared" si="15"/>
        <v>1</v>
      </c>
      <c r="T34" s="31" t="str">
        <f t="shared" si="15"/>
        <v>0</v>
      </c>
      <c r="U34" s="31" t="str">
        <f t="shared" si="15"/>
        <v>K</v>
      </c>
      <c r="V34" s="32" t="str">
        <f t="shared" si="15"/>
        <v>vd Laan</v>
      </c>
      <c r="W34" s="33" t="str">
        <f t="shared" si="15"/>
        <v>K</v>
      </c>
    </row>
    <row r="35" spans="1:23" s="63" customFormat="1" ht="15" customHeight="1" x14ac:dyDescent="0.25">
      <c r="A35" s="27" t="str">
        <f t="shared" si="12"/>
        <v xml:space="preserve"> </v>
      </c>
      <c r="B35" s="28"/>
      <c r="C35" s="30" t="str">
        <f t="shared" ref="C35:K35" si="16">C5</f>
        <v>N</v>
      </c>
      <c r="D35" s="31" t="str">
        <f t="shared" si="16"/>
        <v>A</v>
      </c>
      <c r="E35" s="31" t="str">
        <f t="shared" si="16"/>
        <v>E</v>
      </c>
      <c r="F35" s="31" t="str">
        <f t="shared" si="16"/>
        <v>K</v>
      </c>
      <c r="G35" s="31" t="str">
        <f t="shared" si="16"/>
        <v>4</v>
      </c>
      <c r="H35" s="31" t="str">
        <f t="shared" si="16"/>
        <v>3</v>
      </c>
      <c r="I35" s="31" t="str">
        <f t="shared" si="16"/>
        <v>2</v>
      </c>
      <c r="J35" s="32" t="str">
        <f t="shared" si="16"/>
        <v>Benkieran</v>
      </c>
      <c r="K35" s="33" t="str">
        <f t="shared" si="16"/>
        <v>R</v>
      </c>
      <c r="L35" s="73"/>
      <c r="M35" s="27" t="str">
        <f t="shared" si="14"/>
        <v xml:space="preserve"> </v>
      </c>
      <c r="N35" s="28"/>
      <c r="O35" s="30" t="str">
        <f t="shared" ref="O35:W35" si="17">O5</f>
        <v>N</v>
      </c>
      <c r="P35" s="31" t="str">
        <f t="shared" si="17"/>
        <v>A</v>
      </c>
      <c r="Q35" s="31" t="str">
        <f t="shared" si="17"/>
        <v>E</v>
      </c>
      <c r="R35" s="31" t="str">
        <f t="shared" si="17"/>
        <v>K</v>
      </c>
      <c r="S35" s="31" t="str">
        <f t="shared" si="17"/>
        <v>4</v>
      </c>
      <c r="T35" s="31" t="str">
        <f t="shared" si="17"/>
        <v>3</v>
      </c>
      <c r="U35" s="31" t="str">
        <f t="shared" si="17"/>
        <v>2</v>
      </c>
      <c r="V35" s="32" t="str">
        <f t="shared" si="17"/>
        <v>Benkieran</v>
      </c>
      <c r="W35" s="33" t="str">
        <f t="shared" si="17"/>
        <v>R</v>
      </c>
    </row>
    <row r="36" spans="1:23" ht="15" customHeight="1" x14ac:dyDescent="0.2">
      <c r="A36" s="27" t="str">
        <f t="shared" si="12"/>
        <v xml:space="preserve"> </v>
      </c>
      <c r="B36" s="28"/>
      <c r="C36" s="30" t="str">
        <f t="shared" ref="C36:K36" si="18">C6</f>
        <v>M</v>
      </c>
      <c r="D36" s="31" t="str">
        <f t="shared" si="18"/>
        <v>Z</v>
      </c>
      <c r="E36" s="31" t="str">
        <f t="shared" si="18"/>
        <v>M</v>
      </c>
      <c r="F36" s="31" t="str">
        <f t="shared" si="18"/>
        <v>P</v>
      </c>
      <c r="G36" s="31" t="str">
        <f t="shared" si="18"/>
        <v>4</v>
      </c>
      <c r="H36" s="31" t="str">
        <f t="shared" si="18"/>
        <v>4</v>
      </c>
      <c r="I36" s="31" t="str">
        <f t="shared" si="18"/>
        <v>Q</v>
      </c>
      <c r="J36" s="32" t="str">
        <f t="shared" si="18"/>
        <v>Hiemstra</v>
      </c>
      <c r="K36" s="33" t="str">
        <f t="shared" si="18"/>
        <v>P.J</v>
      </c>
      <c r="L36" s="73"/>
      <c r="M36" s="27" t="str">
        <f t="shared" si="14"/>
        <v xml:space="preserve"> </v>
      </c>
      <c r="N36" s="28"/>
      <c r="O36" s="30" t="str">
        <f t="shared" ref="O36:W36" si="19">O6</f>
        <v>M</v>
      </c>
      <c r="P36" s="31" t="str">
        <f t="shared" si="19"/>
        <v>Z</v>
      </c>
      <c r="Q36" s="31" t="str">
        <f t="shared" si="19"/>
        <v>M</v>
      </c>
      <c r="R36" s="31" t="str">
        <f t="shared" si="19"/>
        <v>P</v>
      </c>
      <c r="S36" s="31" t="str">
        <f t="shared" si="19"/>
        <v>4</v>
      </c>
      <c r="T36" s="31" t="str">
        <f t="shared" si="19"/>
        <v>4</v>
      </c>
      <c r="U36" s="31" t="str">
        <f t="shared" si="19"/>
        <v>Q</v>
      </c>
      <c r="V36" s="32" t="str">
        <f t="shared" si="19"/>
        <v>Hiemstra</v>
      </c>
      <c r="W36" s="33" t="str">
        <f t="shared" si="19"/>
        <v>P.J</v>
      </c>
    </row>
    <row r="37" spans="1:23" ht="15" customHeight="1" x14ac:dyDescent="0.2">
      <c r="A37" s="27" t="str">
        <f t="shared" si="12"/>
        <v xml:space="preserve"> </v>
      </c>
      <c r="B37" s="28"/>
      <c r="C37" s="30" t="str">
        <f t="shared" ref="C37:K37" si="20">C7</f>
        <v>M</v>
      </c>
      <c r="D37" s="31" t="str">
        <f t="shared" si="20"/>
        <v>E</v>
      </c>
      <c r="E37" s="31" t="str">
        <f t="shared" si="20"/>
        <v>O</v>
      </c>
      <c r="F37" s="31" t="str">
        <f t="shared" si="20"/>
        <v>I</v>
      </c>
      <c r="G37" s="31" t="str">
        <f t="shared" si="20"/>
        <v>U</v>
      </c>
      <c r="H37" s="31" t="str">
        <f t="shared" si="20"/>
        <v>1</v>
      </c>
      <c r="I37" s="31" t="str">
        <f t="shared" si="20"/>
        <v>3</v>
      </c>
      <c r="J37" s="32" t="str">
        <f t="shared" si="20"/>
        <v>Brals</v>
      </c>
      <c r="K37" s="33" t="str">
        <f t="shared" si="20"/>
        <v>G</v>
      </c>
      <c r="L37" s="73"/>
      <c r="M37" s="27" t="str">
        <f t="shared" si="14"/>
        <v xml:space="preserve"> </v>
      </c>
      <c r="N37" s="28"/>
      <c r="O37" s="30" t="str">
        <f t="shared" ref="O37:W37" si="21">O7</f>
        <v>M</v>
      </c>
      <c r="P37" s="31" t="str">
        <f t="shared" si="21"/>
        <v>E</v>
      </c>
      <c r="Q37" s="31" t="str">
        <f t="shared" si="21"/>
        <v>O</v>
      </c>
      <c r="R37" s="31" t="str">
        <f t="shared" si="21"/>
        <v>I</v>
      </c>
      <c r="S37" s="31" t="str">
        <f t="shared" si="21"/>
        <v>U</v>
      </c>
      <c r="T37" s="31" t="str">
        <f t="shared" si="21"/>
        <v>1</v>
      </c>
      <c r="U37" s="31" t="str">
        <f t="shared" si="21"/>
        <v>3</v>
      </c>
      <c r="V37" s="32" t="str">
        <f t="shared" si="21"/>
        <v>Brals</v>
      </c>
      <c r="W37" s="33" t="str">
        <f t="shared" si="21"/>
        <v>G</v>
      </c>
    </row>
    <row r="38" spans="1:23" ht="15" customHeight="1" x14ac:dyDescent="0.2">
      <c r="A38" s="27" t="str">
        <f t="shared" si="12"/>
        <v xml:space="preserve"> </v>
      </c>
      <c r="B38" s="28"/>
      <c r="C38" s="30" t="str">
        <f t="shared" ref="C38:K38" si="22">C8</f>
        <v>M</v>
      </c>
      <c r="D38" s="31" t="str">
        <f t="shared" si="22"/>
        <v>Z</v>
      </c>
      <c r="E38" s="31" t="str">
        <f t="shared" si="22"/>
        <v>V</v>
      </c>
      <c r="F38" s="31" t="str">
        <f t="shared" si="22"/>
        <v>N</v>
      </c>
      <c r="G38" s="31" t="str">
        <f t="shared" si="22"/>
        <v>E</v>
      </c>
      <c r="H38" s="31" t="str">
        <f t="shared" si="22"/>
        <v>3</v>
      </c>
      <c r="I38" s="31" t="str">
        <f t="shared" si="22"/>
        <v>2</v>
      </c>
      <c r="J38" s="32" t="str">
        <f t="shared" si="22"/>
        <v>Kuipers</v>
      </c>
      <c r="K38" s="33" t="str">
        <f t="shared" si="22"/>
        <v>A</v>
      </c>
      <c r="L38" s="73"/>
      <c r="M38" s="27" t="str">
        <f t="shared" si="14"/>
        <v xml:space="preserve"> </v>
      </c>
      <c r="N38" s="28"/>
      <c r="O38" s="30" t="str">
        <f t="shared" ref="O38:W38" si="23">O8</f>
        <v>M</v>
      </c>
      <c r="P38" s="31" t="str">
        <f t="shared" si="23"/>
        <v>Z</v>
      </c>
      <c r="Q38" s="31" t="str">
        <f t="shared" si="23"/>
        <v>V</v>
      </c>
      <c r="R38" s="31" t="str">
        <f t="shared" si="23"/>
        <v>N</v>
      </c>
      <c r="S38" s="31" t="str">
        <f t="shared" si="23"/>
        <v>E</v>
      </c>
      <c r="T38" s="31" t="str">
        <f t="shared" si="23"/>
        <v>3</v>
      </c>
      <c r="U38" s="31" t="str">
        <f t="shared" si="23"/>
        <v>2</v>
      </c>
      <c r="V38" s="32" t="str">
        <f t="shared" si="23"/>
        <v>Kuipers</v>
      </c>
      <c r="W38" s="33" t="str">
        <f t="shared" si="23"/>
        <v>A</v>
      </c>
    </row>
    <row r="39" spans="1:23" ht="15" customHeight="1" x14ac:dyDescent="0.2">
      <c r="A39" s="27" t="str">
        <f t="shared" si="12"/>
        <v xml:space="preserve"> </v>
      </c>
      <c r="B39" s="28"/>
      <c r="C39" s="30" t="str">
        <f t="shared" ref="C39:K39" si="24">C9</f>
        <v>N</v>
      </c>
      <c r="D39" s="31" t="str">
        <f t="shared" si="24"/>
        <v>B</v>
      </c>
      <c r="E39" s="31" t="str">
        <f t="shared" si="24"/>
        <v>A</v>
      </c>
      <c r="F39" s="31" t="str">
        <f t="shared" si="24"/>
        <v>I</v>
      </c>
      <c r="G39" s="31" t="str">
        <f t="shared" si="24"/>
        <v>1</v>
      </c>
      <c r="H39" s="31" t="str">
        <f t="shared" si="24"/>
        <v>2</v>
      </c>
      <c r="I39" s="31" t="str">
        <f t="shared" si="24"/>
        <v>1</v>
      </c>
      <c r="J39" s="32" t="str">
        <f t="shared" si="24"/>
        <v>Kanaç</v>
      </c>
      <c r="K39" s="33" t="str">
        <f t="shared" si="24"/>
        <v>M</v>
      </c>
      <c r="L39" s="73"/>
      <c r="M39" s="27" t="str">
        <f t="shared" si="14"/>
        <v xml:space="preserve"> </v>
      </c>
      <c r="N39" s="28"/>
      <c r="O39" s="30" t="str">
        <f t="shared" ref="O39:W39" si="25">O9</f>
        <v>N</v>
      </c>
      <c r="P39" s="31" t="str">
        <f t="shared" si="25"/>
        <v>B</v>
      </c>
      <c r="Q39" s="31" t="str">
        <f t="shared" si="25"/>
        <v>A</v>
      </c>
      <c r="R39" s="31" t="str">
        <f t="shared" si="25"/>
        <v>I</v>
      </c>
      <c r="S39" s="31" t="str">
        <f t="shared" si="25"/>
        <v>1</v>
      </c>
      <c r="T39" s="31" t="str">
        <f t="shared" si="25"/>
        <v>2</v>
      </c>
      <c r="U39" s="31" t="str">
        <f t="shared" si="25"/>
        <v>1</v>
      </c>
      <c r="V39" s="32" t="str">
        <f t="shared" si="25"/>
        <v>Kanaç</v>
      </c>
      <c r="W39" s="33" t="str">
        <f t="shared" si="25"/>
        <v>M</v>
      </c>
    </row>
    <row r="40" spans="1:23" ht="15" customHeight="1" x14ac:dyDescent="0.2">
      <c r="A40" s="27" t="str">
        <f t="shared" si="12"/>
        <v xml:space="preserve"> </v>
      </c>
      <c r="B40" s="28"/>
      <c r="C40" s="30" t="str">
        <f t="shared" ref="C40:K40" si="26">C10</f>
        <v>M</v>
      </c>
      <c r="D40" s="31" t="str">
        <f t="shared" si="26"/>
        <v>M</v>
      </c>
      <c r="E40" s="31" t="str">
        <f t="shared" si="26"/>
        <v>N</v>
      </c>
      <c r="F40" s="31" t="str">
        <f t="shared" si="26"/>
        <v>N</v>
      </c>
      <c r="G40" s="31" t="str">
        <f t="shared" si="26"/>
        <v>8</v>
      </c>
      <c r="H40" s="31" t="str">
        <f t="shared" si="26"/>
        <v>1</v>
      </c>
      <c r="I40" s="31" t="str">
        <f t="shared" si="26"/>
        <v>9</v>
      </c>
      <c r="J40" s="32" t="str">
        <f t="shared" si="26"/>
        <v>Dönmez</v>
      </c>
      <c r="K40" s="33" t="str">
        <f t="shared" si="26"/>
        <v>V</v>
      </c>
      <c r="L40" s="73"/>
      <c r="M40" s="27" t="str">
        <f t="shared" si="14"/>
        <v xml:space="preserve"> </v>
      </c>
      <c r="N40" s="28"/>
      <c r="O40" s="30" t="str">
        <f t="shared" ref="O40:W40" si="27">O10</f>
        <v>M</v>
      </c>
      <c r="P40" s="31" t="str">
        <f t="shared" si="27"/>
        <v>M</v>
      </c>
      <c r="Q40" s="31" t="str">
        <f t="shared" si="27"/>
        <v>N</v>
      </c>
      <c r="R40" s="31" t="str">
        <f t="shared" si="27"/>
        <v>N</v>
      </c>
      <c r="S40" s="31" t="str">
        <f t="shared" si="27"/>
        <v>8</v>
      </c>
      <c r="T40" s="31" t="str">
        <f t="shared" si="27"/>
        <v>1</v>
      </c>
      <c r="U40" s="31" t="str">
        <f t="shared" si="27"/>
        <v>9</v>
      </c>
      <c r="V40" s="32" t="str">
        <f t="shared" si="27"/>
        <v>Dönmez</v>
      </c>
      <c r="W40" s="33" t="str">
        <f t="shared" si="27"/>
        <v>V</v>
      </c>
    </row>
    <row r="41" spans="1:23" ht="15" customHeight="1" x14ac:dyDescent="0.2">
      <c r="A41" s="27" t="str">
        <f t="shared" si="12"/>
        <v xml:space="preserve"> </v>
      </c>
      <c r="B41" s="28"/>
      <c r="C41" s="30" t="str">
        <f t="shared" ref="C41:K41" si="28">C11</f>
        <v>N</v>
      </c>
      <c r="D41" s="31" t="str">
        <f t="shared" si="28"/>
        <v>Q</v>
      </c>
      <c r="E41" s="31" t="str">
        <f t="shared" si="28"/>
        <v>W</v>
      </c>
      <c r="F41" s="31" t="str">
        <f t="shared" si="28"/>
        <v>R</v>
      </c>
      <c r="G41" s="31" t="str">
        <f t="shared" si="28"/>
        <v>I</v>
      </c>
      <c r="H41" s="31" t="str">
        <f t="shared" si="28"/>
        <v>1</v>
      </c>
      <c r="I41" s="31" t="str">
        <f t="shared" si="28"/>
        <v>1</v>
      </c>
      <c r="J41" s="32" t="str">
        <f t="shared" si="28"/>
        <v>Bongers</v>
      </c>
      <c r="K41" s="33" t="str">
        <f t="shared" si="28"/>
        <v>L</v>
      </c>
      <c r="L41" s="73"/>
      <c r="M41" s="27" t="str">
        <f t="shared" si="14"/>
        <v xml:space="preserve"> </v>
      </c>
      <c r="N41" s="28"/>
      <c r="O41" s="30" t="str">
        <f t="shared" ref="O41:W41" si="29">O11</f>
        <v>N</v>
      </c>
      <c r="P41" s="31" t="str">
        <f t="shared" si="29"/>
        <v>Q</v>
      </c>
      <c r="Q41" s="31" t="str">
        <f t="shared" si="29"/>
        <v>W</v>
      </c>
      <c r="R41" s="31" t="str">
        <f t="shared" si="29"/>
        <v>R</v>
      </c>
      <c r="S41" s="31" t="str">
        <f t="shared" si="29"/>
        <v>I</v>
      </c>
      <c r="T41" s="31" t="str">
        <f t="shared" si="29"/>
        <v>1</v>
      </c>
      <c r="U41" s="31" t="str">
        <f t="shared" si="29"/>
        <v>1</v>
      </c>
      <c r="V41" s="32" t="str">
        <f t="shared" si="29"/>
        <v>Bongers</v>
      </c>
      <c r="W41" s="33" t="str">
        <f t="shared" si="29"/>
        <v>L</v>
      </c>
    </row>
    <row r="42" spans="1:23" ht="15" customHeight="1" x14ac:dyDescent="0.2">
      <c r="A42" s="27" t="str">
        <f t="shared" si="12"/>
        <v xml:space="preserve"> </v>
      </c>
      <c r="B42" s="28"/>
      <c r="C42" s="30" t="str">
        <f t="shared" ref="C42:K42" si="30">C12</f>
        <v>M</v>
      </c>
      <c r="D42" s="31" t="str">
        <f t="shared" si="30"/>
        <v>X</v>
      </c>
      <c r="E42" s="31" t="str">
        <f t="shared" si="30"/>
        <v>C</v>
      </c>
      <c r="F42" s="31" t="str">
        <f t="shared" si="30"/>
        <v>Z</v>
      </c>
      <c r="G42" s="31" t="str">
        <f t="shared" si="30"/>
        <v>Q</v>
      </c>
      <c r="H42" s="31" t="str">
        <f t="shared" si="30"/>
        <v>1</v>
      </c>
      <c r="I42" s="31" t="str">
        <f t="shared" si="30"/>
        <v>2</v>
      </c>
      <c r="J42" s="32" t="str">
        <f t="shared" si="30"/>
        <v>Tomasoa</v>
      </c>
      <c r="K42" s="33" t="str">
        <f t="shared" si="30"/>
        <v>M</v>
      </c>
      <c r="L42" s="73"/>
      <c r="M42" s="27" t="str">
        <f t="shared" si="14"/>
        <v xml:space="preserve"> </v>
      </c>
      <c r="N42" s="28"/>
      <c r="O42" s="30" t="str">
        <f t="shared" ref="O42:W42" si="31">O12</f>
        <v>M</v>
      </c>
      <c r="P42" s="31" t="str">
        <f t="shared" si="31"/>
        <v>X</v>
      </c>
      <c r="Q42" s="31" t="str">
        <f t="shared" si="31"/>
        <v>C</v>
      </c>
      <c r="R42" s="31" t="str">
        <f t="shared" si="31"/>
        <v>Z</v>
      </c>
      <c r="S42" s="31" t="str">
        <f t="shared" si="31"/>
        <v>Q</v>
      </c>
      <c r="T42" s="31" t="str">
        <f t="shared" si="31"/>
        <v>1</v>
      </c>
      <c r="U42" s="31" t="str">
        <f t="shared" si="31"/>
        <v>2</v>
      </c>
      <c r="V42" s="32" t="str">
        <f t="shared" si="31"/>
        <v>Tomasoa</v>
      </c>
      <c r="W42" s="33" t="str">
        <f t="shared" si="31"/>
        <v>M</v>
      </c>
    </row>
    <row r="43" spans="1:23" ht="15" customHeight="1" x14ac:dyDescent="0.2">
      <c r="A43" s="27" t="str">
        <f t="shared" si="12"/>
        <v xml:space="preserve"> </v>
      </c>
      <c r="B43" s="28"/>
      <c r="C43" s="30" t="str">
        <f t="shared" ref="C43:K43" si="32">C13</f>
        <v>M</v>
      </c>
      <c r="D43" s="31" t="str">
        <f t="shared" si="32"/>
        <v>I</v>
      </c>
      <c r="E43" s="31" t="str">
        <f t="shared" si="32"/>
        <v>W</v>
      </c>
      <c r="F43" s="31" t="str">
        <f t="shared" si="32"/>
        <v>A</v>
      </c>
      <c r="G43" s="31" t="str">
        <f t="shared" si="32"/>
        <v>U</v>
      </c>
      <c r="H43" s="31" t="str">
        <f t="shared" si="32"/>
        <v>Y</v>
      </c>
      <c r="I43" s="31" t="str">
        <f t="shared" si="32"/>
        <v>6</v>
      </c>
      <c r="J43" s="32" t="str">
        <f t="shared" si="32"/>
        <v>Groen</v>
      </c>
      <c r="K43" s="33" t="str">
        <f t="shared" si="32"/>
        <v>A</v>
      </c>
      <c r="L43" s="73"/>
      <c r="M43" s="27" t="str">
        <f t="shared" si="14"/>
        <v xml:space="preserve"> </v>
      </c>
      <c r="N43" s="28"/>
      <c r="O43" s="30" t="str">
        <f t="shared" ref="O43:W43" si="33">O13</f>
        <v>M</v>
      </c>
      <c r="P43" s="31" t="str">
        <f t="shared" si="33"/>
        <v>I</v>
      </c>
      <c r="Q43" s="31" t="str">
        <f t="shared" si="33"/>
        <v>W</v>
      </c>
      <c r="R43" s="31" t="str">
        <f t="shared" si="33"/>
        <v>A</v>
      </c>
      <c r="S43" s="31" t="str">
        <f t="shared" si="33"/>
        <v>U</v>
      </c>
      <c r="T43" s="31" t="str">
        <f t="shared" si="33"/>
        <v>Y</v>
      </c>
      <c r="U43" s="31" t="str">
        <f t="shared" si="33"/>
        <v>6</v>
      </c>
      <c r="V43" s="32" t="str">
        <f t="shared" si="33"/>
        <v>Groen</v>
      </c>
      <c r="W43" s="33" t="str">
        <f t="shared" si="33"/>
        <v>A</v>
      </c>
    </row>
    <row r="44" spans="1:23" ht="15" customHeight="1" x14ac:dyDescent="0.2">
      <c r="A44" s="27" t="str">
        <f t="shared" si="12"/>
        <v xml:space="preserve"> </v>
      </c>
      <c r="B44" s="28"/>
      <c r="C44" s="30" t="str">
        <f t="shared" ref="C44:K45" si="34">C14</f>
        <v>N</v>
      </c>
      <c r="D44" s="31" t="str">
        <f t="shared" si="34"/>
        <v>U</v>
      </c>
      <c r="E44" s="31" t="str">
        <f t="shared" si="34"/>
        <v>E</v>
      </c>
      <c r="F44" s="31" t="str">
        <f t="shared" si="34"/>
        <v>Q</v>
      </c>
      <c r="G44" s="31" t="str">
        <f t="shared" si="34"/>
        <v>Y</v>
      </c>
      <c r="H44" s="31" t="str">
        <f t="shared" si="34"/>
        <v>T</v>
      </c>
      <c r="I44" s="31" t="str">
        <f t="shared" si="34"/>
        <v>1</v>
      </c>
      <c r="J44" s="32" t="str">
        <f t="shared" si="34"/>
        <v>Fisher</v>
      </c>
      <c r="K44" s="33" t="str">
        <f t="shared" si="34"/>
        <v>V</v>
      </c>
      <c r="L44" s="73"/>
      <c r="M44" s="27" t="str">
        <f t="shared" si="14"/>
        <v xml:space="preserve"> </v>
      </c>
      <c r="N44" s="28"/>
      <c r="O44" s="30" t="str">
        <f t="shared" ref="O44:W44" si="35">O14</f>
        <v>N</v>
      </c>
      <c r="P44" s="31" t="str">
        <f t="shared" si="35"/>
        <v>U</v>
      </c>
      <c r="Q44" s="31" t="str">
        <f t="shared" si="35"/>
        <v>E</v>
      </c>
      <c r="R44" s="31" t="str">
        <f t="shared" si="35"/>
        <v>Q</v>
      </c>
      <c r="S44" s="31" t="str">
        <f t="shared" si="35"/>
        <v>Y</v>
      </c>
      <c r="T44" s="31" t="str">
        <f t="shared" si="35"/>
        <v>T</v>
      </c>
      <c r="U44" s="31" t="str">
        <f t="shared" si="35"/>
        <v>1</v>
      </c>
      <c r="V44" s="32" t="str">
        <f t="shared" si="35"/>
        <v>Fisher</v>
      </c>
      <c r="W44" s="33" t="str">
        <f t="shared" si="35"/>
        <v>V</v>
      </c>
    </row>
    <row r="45" spans="1:23" ht="16.5" customHeight="1" x14ac:dyDescent="0.2">
      <c r="A45" s="81" t="s">
        <v>14</v>
      </c>
      <c r="B45" s="81"/>
      <c r="C45" s="30" t="str">
        <f t="shared" ref="C45:K45" si="36">C15</f>
        <v/>
      </c>
      <c r="D45" s="31" t="str">
        <f t="shared" si="36"/>
        <v/>
      </c>
      <c r="E45" s="31" t="str">
        <f t="shared" si="36"/>
        <v/>
      </c>
      <c r="F45" s="31" t="str">
        <f t="shared" si="36"/>
        <v/>
      </c>
      <c r="G45" s="31" t="str">
        <f t="shared" si="36"/>
        <v/>
      </c>
      <c r="H45" s="31" t="str">
        <f t="shared" si="36"/>
        <v/>
      </c>
      <c r="I45" s="31" t="str">
        <f t="shared" si="36"/>
        <v/>
      </c>
      <c r="J45" s="32" t="str">
        <f t="shared" si="34"/>
        <v/>
      </c>
      <c r="K45" s="33" t="str">
        <f t="shared" si="36"/>
        <v/>
      </c>
      <c r="L45" s="73"/>
      <c r="M45" s="81" t="s">
        <v>14</v>
      </c>
      <c r="N45" s="81"/>
      <c r="O45" s="30" t="str">
        <f t="shared" ref="O45:W45" si="37">O15</f>
        <v/>
      </c>
      <c r="P45" s="31" t="str">
        <f t="shared" si="37"/>
        <v/>
      </c>
      <c r="Q45" s="31" t="str">
        <f t="shared" si="37"/>
        <v/>
      </c>
      <c r="R45" s="31" t="str">
        <f t="shared" si="37"/>
        <v/>
      </c>
      <c r="S45" s="31" t="str">
        <f t="shared" si="37"/>
        <v/>
      </c>
      <c r="T45" s="31" t="str">
        <f t="shared" si="37"/>
        <v/>
      </c>
      <c r="U45" s="31" t="str">
        <f t="shared" si="37"/>
        <v/>
      </c>
      <c r="V45" s="32" t="str">
        <f t="shared" si="37"/>
        <v/>
      </c>
      <c r="W45" s="33" t="str">
        <f t="shared" si="37"/>
        <v/>
      </c>
    </row>
    <row r="46" spans="1:23" s="39" customFormat="1" ht="9" x14ac:dyDescent="0.15">
      <c r="A46" s="34"/>
      <c r="B46" s="35"/>
      <c r="C46" s="35" t="s">
        <v>15</v>
      </c>
      <c r="D46" s="35"/>
      <c r="E46" s="35"/>
      <c r="F46" s="35"/>
      <c r="G46" s="35"/>
      <c r="H46" s="35"/>
      <c r="I46" s="35"/>
      <c r="J46" s="36"/>
      <c r="K46" s="37"/>
      <c r="L46" s="38"/>
      <c r="M46" s="34"/>
      <c r="N46" s="35"/>
      <c r="O46" s="35" t="s">
        <v>15</v>
      </c>
      <c r="P46" s="35"/>
      <c r="Q46" s="35"/>
      <c r="R46" s="35"/>
      <c r="S46" s="35"/>
      <c r="T46" s="35"/>
      <c r="U46" s="35"/>
      <c r="V46" s="36"/>
      <c r="W46" s="37"/>
    </row>
    <row r="47" spans="1:23" s="39" customFormat="1" ht="9" x14ac:dyDescent="0.15">
      <c r="A47" s="40"/>
      <c r="B47" s="41"/>
      <c r="C47" s="41" t="s">
        <v>16</v>
      </c>
      <c r="D47" s="41"/>
      <c r="E47" s="41"/>
      <c r="F47" s="41"/>
      <c r="G47" s="41"/>
      <c r="H47" s="41"/>
      <c r="I47" s="41"/>
      <c r="J47" s="42"/>
      <c r="K47" s="43"/>
      <c r="L47" s="38"/>
      <c r="M47" s="40"/>
      <c r="N47" s="41"/>
      <c r="O47" s="41" t="s">
        <v>16</v>
      </c>
      <c r="P47" s="41"/>
      <c r="Q47" s="41"/>
      <c r="R47" s="41"/>
      <c r="S47" s="41"/>
      <c r="T47" s="41"/>
      <c r="U47" s="41"/>
      <c r="V47" s="42"/>
      <c r="W47" s="43"/>
    </row>
    <row r="48" spans="1:23" ht="15" customHeight="1" x14ac:dyDescent="0.2">
      <c r="A48" s="27" t="str">
        <f t="shared" ref="A48:A54" si="38">A18</f>
        <v xml:space="preserve"> </v>
      </c>
      <c r="B48" s="28"/>
      <c r="C48" s="30" t="str">
        <f t="shared" ref="C48:K48" si="39">C18</f>
        <v>M</v>
      </c>
      <c r="D48" s="31" t="str">
        <f t="shared" si="39"/>
        <v>P</v>
      </c>
      <c r="E48" s="31" t="str">
        <f t="shared" si="39"/>
        <v>P</v>
      </c>
      <c r="F48" s="31" t="str">
        <f t="shared" si="39"/>
        <v>H</v>
      </c>
      <c r="G48" s="31" t="str">
        <f t="shared" si="39"/>
        <v>G</v>
      </c>
      <c r="H48" s="31" t="str">
        <f t="shared" si="39"/>
        <v>9</v>
      </c>
      <c r="I48" s="31" t="str">
        <f t="shared" si="39"/>
        <v>1</v>
      </c>
      <c r="J48" s="32" t="str">
        <f t="shared" si="39"/>
        <v>van Bokhoven</v>
      </c>
      <c r="K48" s="33" t="str">
        <f t="shared" si="39"/>
        <v>E.R.</v>
      </c>
      <c r="L48" s="73"/>
      <c r="M48" s="27" t="str">
        <f t="shared" ref="M48:M54" si="40">M18</f>
        <v xml:space="preserve"> </v>
      </c>
      <c r="N48" s="28"/>
      <c r="O48" s="30" t="str">
        <f t="shared" ref="O48:W48" si="41">O18</f>
        <v>M</v>
      </c>
      <c r="P48" s="31" t="str">
        <f t="shared" si="41"/>
        <v>P</v>
      </c>
      <c r="Q48" s="31" t="str">
        <f t="shared" si="41"/>
        <v>P</v>
      </c>
      <c r="R48" s="31" t="str">
        <f t="shared" si="41"/>
        <v>H</v>
      </c>
      <c r="S48" s="31" t="str">
        <f t="shared" si="41"/>
        <v>G</v>
      </c>
      <c r="T48" s="31" t="str">
        <f t="shared" si="41"/>
        <v>9</v>
      </c>
      <c r="U48" s="31" t="str">
        <f t="shared" si="41"/>
        <v>1</v>
      </c>
      <c r="V48" s="32" t="str">
        <f t="shared" si="41"/>
        <v>van Bokhoven</v>
      </c>
      <c r="W48" s="33" t="str">
        <f t="shared" si="41"/>
        <v>E.R.</v>
      </c>
    </row>
    <row r="49" spans="1:23" ht="15" customHeight="1" x14ac:dyDescent="0.2">
      <c r="A49" s="27" t="str">
        <f t="shared" si="38"/>
        <v xml:space="preserve"> </v>
      </c>
      <c r="B49" s="28"/>
      <c r="C49" s="30" t="str">
        <f t="shared" ref="C49:K49" si="42">C19</f>
        <v>M</v>
      </c>
      <c r="D49" s="31" t="str">
        <f t="shared" si="42"/>
        <v>B</v>
      </c>
      <c r="E49" s="31" t="str">
        <f t="shared" si="42"/>
        <v>C</v>
      </c>
      <c r="F49" s="31" t="str">
        <f t="shared" si="42"/>
        <v>R</v>
      </c>
      <c r="G49" s="31" t="str">
        <f t="shared" si="42"/>
        <v>T</v>
      </c>
      <c r="H49" s="31" t="str">
        <f t="shared" si="42"/>
        <v>6</v>
      </c>
      <c r="I49" s="31" t="str">
        <f t="shared" si="42"/>
        <v>6</v>
      </c>
      <c r="J49" s="32" t="str">
        <f t="shared" si="42"/>
        <v>Vissers</v>
      </c>
      <c r="K49" s="33" t="str">
        <f t="shared" si="42"/>
        <v>P.H.</v>
      </c>
      <c r="L49" s="73"/>
      <c r="M49" s="27" t="str">
        <f t="shared" si="40"/>
        <v xml:space="preserve"> </v>
      </c>
      <c r="N49" s="28"/>
      <c r="O49" s="30" t="str">
        <f t="shared" ref="O49:W49" si="43">O19</f>
        <v>M</v>
      </c>
      <c r="P49" s="31" t="str">
        <f t="shared" si="43"/>
        <v>B</v>
      </c>
      <c r="Q49" s="31" t="str">
        <f t="shared" si="43"/>
        <v>C</v>
      </c>
      <c r="R49" s="31" t="str">
        <f t="shared" si="43"/>
        <v>R</v>
      </c>
      <c r="S49" s="31" t="str">
        <f t="shared" si="43"/>
        <v>T</v>
      </c>
      <c r="T49" s="31" t="str">
        <f t="shared" si="43"/>
        <v>6</v>
      </c>
      <c r="U49" s="31" t="str">
        <f t="shared" si="43"/>
        <v>6</v>
      </c>
      <c r="V49" s="32" t="str">
        <f t="shared" si="43"/>
        <v>Vissers</v>
      </c>
      <c r="W49" s="33" t="str">
        <f t="shared" si="43"/>
        <v>P.H.</v>
      </c>
    </row>
    <row r="50" spans="1:23" ht="15" customHeight="1" x14ac:dyDescent="0.2">
      <c r="A50" s="27" t="str">
        <f t="shared" si="38"/>
        <v xml:space="preserve"> </v>
      </c>
      <c r="B50" s="28"/>
      <c r="C50" s="44" t="str">
        <f t="shared" ref="C50:K50" si="44">C20</f>
        <v>M</v>
      </c>
      <c r="D50" s="33" t="str">
        <f t="shared" si="44"/>
        <v>G</v>
      </c>
      <c r="E50" s="33" t="str">
        <f t="shared" si="44"/>
        <v>G</v>
      </c>
      <c r="F50" s="33" t="str">
        <f t="shared" si="44"/>
        <v>F</v>
      </c>
      <c r="G50" s="33" t="str">
        <f t="shared" si="44"/>
        <v>P</v>
      </c>
      <c r="H50" s="33" t="str">
        <f t="shared" si="44"/>
        <v>9</v>
      </c>
      <c r="I50" s="33" t="str">
        <f t="shared" si="44"/>
        <v>4</v>
      </c>
      <c r="J50" s="32" t="str">
        <f t="shared" si="44"/>
        <v>Klein</v>
      </c>
      <c r="K50" s="33" t="str">
        <f t="shared" si="44"/>
        <v>A</v>
      </c>
      <c r="L50" s="73"/>
      <c r="M50" s="27" t="str">
        <f t="shared" si="40"/>
        <v xml:space="preserve"> </v>
      </c>
      <c r="N50" s="28"/>
      <c r="O50" s="44" t="str">
        <f t="shared" ref="O50:W50" si="45">O20</f>
        <v>M</v>
      </c>
      <c r="P50" s="33" t="str">
        <f t="shared" si="45"/>
        <v>G</v>
      </c>
      <c r="Q50" s="33" t="str">
        <f t="shared" si="45"/>
        <v>G</v>
      </c>
      <c r="R50" s="33" t="str">
        <f t="shared" si="45"/>
        <v>F</v>
      </c>
      <c r="S50" s="33" t="str">
        <f t="shared" si="45"/>
        <v>P</v>
      </c>
      <c r="T50" s="33" t="str">
        <f t="shared" si="45"/>
        <v>9</v>
      </c>
      <c r="U50" s="33" t="str">
        <f t="shared" si="45"/>
        <v>4</v>
      </c>
      <c r="V50" s="32" t="str">
        <f t="shared" si="45"/>
        <v>Klein</v>
      </c>
      <c r="W50" s="33" t="str">
        <f t="shared" si="45"/>
        <v>A</v>
      </c>
    </row>
    <row r="51" spans="1:23" ht="13.9" customHeight="1" x14ac:dyDescent="0.2">
      <c r="A51" s="27" t="str">
        <f t="shared" si="38"/>
        <v/>
      </c>
      <c r="B51" s="28"/>
      <c r="C51" s="44" t="str">
        <f t="shared" ref="C51:K51" si="46">C21</f>
        <v/>
      </c>
      <c r="D51" s="33" t="str">
        <f t="shared" si="46"/>
        <v/>
      </c>
      <c r="E51" s="33" t="str">
        <f t="shared" si="46"/>
        <v/>
      </c>
      <c r="F51" s="33" t="str">
        <f t="shared" si="46"/>
        <v/>
      </c>
      <c r="G51" s="33" t="str">
        <f t="shared" si="46"/>
        <v/>
      </c>
      <c r="H51" s="33" t="str">
        <f t="shared" si="46"/>
        <v/>
      </c>
      <c r="I51" s="33" t="str">
        <f t="shared" si="46"/>
        <v/>
      </c>
      <c r="J51" s="32" t="str">
        <f t="shared" si="46"/>
        <v/>
      </c>
      <c r="K51" s="33" t="str">
        <f t="shared" si="46"/>
        <v/>
      </c>
      <c r="L51" s="73"/>
      <c r="M51" s="27" t="str">
        <f t="shared" si="40"/>
        <v/>
      </c>
      <c r="N51" s="28"/>
      <c r="O51" s="44" t="str">
        <f t="shared" ref="O51:W51" si="47">O21</f>
        <v/>
      </c>
      <c r="P51" s="33" t="str">
        <f t="shared" si="47"/>
        <v/>
      </c>
      <c r="Q51" s="33" t="str">
        <f t="shared" si="47"/>
        <v/>
      </c>
      <c r="R51" s="33" t="str">
        <f t="shared" si="47"/>
        <v/>
      </c>
      <c r="S51" s="33" t="str">
        <f t="shared" si="47"/>
        <v/>
      </c>
      <c r="T51" s="33" t="str">
        <f t="shared" si="47"/>
        <v/>
      </c>
      <c r="U51" s="33" t="str">
        <f t="shared" si="47"/>
        <v/>
      </c>
      <c r="V51" s="32" t="str">
        <f t="shared" si="47"/>
        <v/>
      </c>
      <c r="W51" s="33" t="str">
        <f t="shared" si="47"/>
        <v/>
      </c>
    </row>
    <row r="52" spans="1:23" ht="13.9" customHeight="1" x14ac:dyDescent="0.2">
      <c r="A52" s="27" t="str">
        <f t="shared" si="38"/>
        <v/>
      </c>
      <c r="B52" s="28"/>
      <c r="C52" s="44" t="str">
        <f t="shared" ref="C52:K52" si="48">C22</f>
        <v/>
      </c>
      <c r="D52" s="33" t="str">
        <f t="shared" si="48"/>
        <v/>
      </c>
      <c r="E52" s="33" t="str">
        <f t="shared" si="48"/>
        <v/>
      </c>
      <c r="F52" s="33" t="str">
        <f t="shared" si="48"/>
        <v/>
      </c>
      <c r="G52" s="33" t="str">
        <f t="shared" si="48"/>
        <v/>
      </c>
      <c r="H52" s="33" t="str">
        <f t="shared" si="48"/>
        <v/>
      </c>
      <c r="I52" s="33" t="str">
        <f t="shared" si="48"/>
        <v/>
      </c>
      <c r="J52" s="32" t="str">
        <f t="shared" si="48"/>
        <v/>
      </c>
      <c r="K52" s="33" t="str">
        <f t="shared" si="48"/>
        <v/>
      </c>
      <c r="L52" s="73"/>
      <c r="M52" s="27" t="str">
        <f t="shared" si="40"/>
        <v/>
      </c>
      <c r="N52" s="28"/>
      <c r="O52" s="44" t="str">
        <f t="shared" ref="O52:W52" si="49">O22</f>
        <v/>
      </c>
      <c r="P52" s="33" t="str">
        <f t="shared" si="49"/>
        <v/>
      </c>
      <c r="Q52" s="33" t="str">
        <f t="shared" si="49"/>
        <v/>
      </c>
      <c r="R52" s="33" t="str">
        <f t="shared" si="49"/>
        <v/>
      </c>
      <c r="S52" s="33" t="str">
        <f t="shared" si="49"/>
        <v/>
      </c>
      <c r="T52" s="33" t="str">
        <f t="shared" si="49"/>
        <v/>
      </c>
      <c r="U52" s="33" t="str">
        <f t="shared" si="49"/>
        <v/>
      </c>
      <c r="V52" s="32" t="str">
        <f t="shared" si="49"/>
        <v/>
      </c>
      <c r="W52" s="33" t="str">
        <f t="shared" si="49"/>
        <v/>
      </c>
    </row>
    <row r="53" spans="1:23" ht="13.9" customHeight="1" x14ac:dyDescent="0.2">
      <c r="A53" s="27" t="str">
        <f t="shared" si="38"/>
        <v/>
      </c>
      <c r="B53" s="28"/>
      <c r="C53" s="44" t="str">
        <f t="shared" ref="C53:K53" si="50">C23</f>
        <v/>
      </c>
      <c r="D53" s="33" t="str">
        <f t="shared" si="50"/>
        <v/>
      </c>
      <c r="E53" s="33" t="str">
        <f t="shared" si="50"/>
        <v/>
      </c>
      <c r="F53" s="33" t="str">
        <f t="shared" si="50"/>
        <v/>
      </c>
      <c r="G53" s="33" t="str">
        <f t="shared" si="50"/>
        <v/>
      </c>
      <c r="H53" s="33" t="str">
        <f t="shared" si="50"/>
        <v/>
      </c>
      <c r="I53" s="33" t="str">
        <f t="shared" si="50"/>
        <v/>
      </c>
      <c r="J53" s="32" t="str">
        <f t="shared" si="50"/>
        <v/>
      </c>
      <c r="K53" s="33" t="str">
        <f t="shared" si="50"/>
        <v/>
      </c>
      <c r="L53" s="73"/>
      <c r="M53" s="27" t="str">
        <f t="shared" si="40"/>
        <v/>
      </c>
      <c r="N53" s="28"/>
      <c r="O53" s="44" t="str">
        <f t="shared" ref="O53:W53" si="51">O23</f>
        <v/>
      </c>
      <c r="P53" s="33" t="str">
        <f t="shared" si="51"/>
        <v/>
      </c>
      <c r="Q53" s="33" t="str">
        <f t="shared" si="51"/>
        <v/>
      </c>
      <c r="R53" s="33" t="str">
        <f t="shared" si="51"/>
        <v/>
      </c>
      <c r="S53" s="33" t="str">
        <f t="shared" si="51"/>
        <v/>
      </c>
      <c r="T53" s="33" t="str">
        <f t="shared" si="51"/>
        <v/>
      </c>
      <c r="U53" s="33" t="str">
        <f t="shared" si="51"/>
        <v/>
      </c>
      <c r="V53" s="32" t="str">
        <f t="shared" si="51"/>
        <v/>
      </c>
      <c r="W53" s="33" t="str">
        <f t="shared" si="51"/>
        <v/>
      </c>
    </row>
    <row r="54" spans="1:23" ht="13.9" customHeight="1" x14ac:dyDescent="0.2">
      <c r="A54" s="27" t="str">
        <f t="shared" si="38"/>
        <v/>
      </c>
      <c r="B54" s="28"/>
      <c r="C54" s="44" t="str">
        <f t="shared" ref="C54:K54" si="52">C24</f>
        <v/>
      </c>
      <c r="D54" s="33" t="str">
        <f t="shared" si="52"/>
        <v/>
      </c>
      <c r="E54" s="33" t="str">
        <f t="shared" si="52"/>
        <v/>
      </c>
      <c r="F54" s="33" t="str">
        <f t="shared" si="52"/>
        <v/>
      </c>
      <c r="G54" s="33" t="str">
        <f t="shared" si="52"/>
        <v/>
      </c>
      <c r="H54" s="33" t="str">
        <f t="shared" si="52"/>
        <v/>
      </c>
      <c r="I54" s="33" t="str">
        <f t="shared" si="52"/>
        <v/>
      </c>
      <c r="J54" s="32" t="str">
        <f t="shared" si="52"/>
        <v/>
      </c>
      <c r="K54" s="33" t="str">
        <f t="shared" si="52"/>
        <v/>
      </c>
      <c r="L54" s="73"/>
      <c r="M54" s="27" t="str">
        <f t="shared" si="40"/>
        <v/>
      </c>
      <c r="N54" s="28"/>
      <c r="O54" s="44" t="str">
        <f t="shared" ref="O54:W54" si="53">O24</f>
        <v/>
      </c>
      <c r="P54" s="33" t="str">
        <f t="shared" si="53"/>
        <v/>
      </c>
      <c r="Q54" s="33" t="str">
        <f t="shared" si="53"/>
        <v/>
      </c>
      <c r="R54" s="33" t="str">
        <f t="shared" si="53"/>
        <v/>
      </c>
      <c r="S54" s="33" t="str">
        <f t="shared" si="53"/>
        <v/>
      </c>
      <c r="T54" s="33" t="str">
        <f t="shared" si="53"/>
        <v/>
      </c>
      <c r="U54" s="33" t="str">
        <f t="shared" si="53"/>
        <v/>
      </c>
      <c r="V54" s="32" t="str">
        <f t="shared" si="53"/>
        <v/>
      </c>
      <c r="W54" s="33" t="str">
        <f t="shared" si="53"/>
        <v/>
      </c>
    </row>
    <row r="55" spans="1:23" s="51" customFormat="1" ht="12" customHeight="1" x14ac:dyDescent="0.2">
      <c r="A55" s="45" t="s">
        <v>17</v>
      </c>
      <c r="B55" s="46"/>
      <c r="C55" s="47"/>
      <c r="D55" s="47"/>
      <c r="E55" s="47"/>
      <c r="F55" s="47"/>
      <c r="G55" s="47"/>
      <c r="H55" s="47"/>
      <c r="I55" s="47"/>
      <c r="J55" s="48"/>
      <c r="K55" s="49"/>
      <c r="L55" s="50"/>
      <c r="M55" s="45" t="s">
        <v>17</v>
      </c>
      <c r="N55" s="46"/>
      <c r="O55" s="47"/>
      <c r="P55" s="47"/>
      <c r="Q55" s="47"/>
      <c r="R55" s="47"/>
      <c r="S55" s="47"/>
      <c r="T55" s="47"/>
      <c r="U55" s="47"/>
      <c r="V55" s="48"/>
      <c r="W55" s="49"/>
    </row>
    <row r="56" spans="1:23" s="51" customFormat="1" ht="12" customHeight="1" x14ac:dyDescent="0.2">
      <c r="A56" s="52" t="s">
        <v>18</v>
      </c>
      <c r="B56" s="53"/>
      <c r="C56" s="50"/>
      <c r="D56" s="50"/>
      <c r="E56" s="50"/>
      <c r="F56" s="50"/>
      <c r="G56" s="50"/>
      <c r="H56" s="50"/>
      <c r="I56" s="50"/>
      <c r="J56" s="54"/>
      <c r="K56" s="55"/>
      <c r="L56" s="50"/>
      <c r="M56" s="52" t="s">
        <v>18</v>
      </c>
      <c r="N56" s="53"/>
      <c r="O56" s="50"/>
      <c r="P56" s="50"/>
      <c r="Q56" s="50"/>
      <c r="R56" s="50"/>
      <c r="S56" s="50"/>
      <c r="T56" s="50"/>
      <c r="U56" s="50"/>
      <c r="V56" s="54"/>
      <c r="W56" s="55"/>
    </row>
    <row r="57" spans="1:23" s="51" customFormat="1" ht="12.75" x14ac:dyDescent="0.2">
      <c r="A57" s="56" t="s">
        <v>19</v>
      </c>
      <c r="B57" s="53"/>
      <c r="C57" s="50"/>
      <c r="D57" s="50"/>
      <c r="E57" s="50"/>
      <c r="F57" s="50"/>
      <c r="G57" s="50"/>
      <c r="H57" s="50"/>
      <c r="I57" s="50"/>
      <c r="J57" s="54"/>
      <c r="K57" s="55"/>
      <c r="L57" s="50"/>
      <c r="M57" s="56" t="s">
        <v>19</v>
      </c>
      <c r="N57" s="53"/>
      <c r="O57" s="50"/>
      <c r="P57" s="50"/>
      <c r="Q57" s="50"/>
      <c r="R57" s="50"/>
      <c r="S57" s="50"/>
      <c r="T57" s="50"/>
      <c r="U57" s="50"/>
      <c r="V57" s="54"/>
      <c r="W57" s="55"/>
    </row>
    <row r="58" spans="1:23" s="63" customFormat="1" ht="12.75" customHeight="1" x14ac:dyDescent="0.25">
      <c r="A58" s="57" t="s">
        <v>10</v>
      </c>
      <c r="B58" s="58"/>
      <c r="C58" s="62" t="str">
        <f t="shared" ref="C58:I58" si="54">C28</f>
        <v>M</v>
      </c>
      <c r="D58" s="62" t="str">
        <f t="shared" si="54"/>
        <v>L</v>
      </c>
      <c r="E58" s="62" t="str">
        <f t="shared" si="54"/>
        <v>B</v>
      </c>
      <c r="F58" s="62" t="str">
        <f t="shared" si="54"/>
        <v>E</v>
      </c>
      <c r="G58" s="62" t="str">
        <f t="shared" si="54"/>
        <v>1</v>
      </c>
      <c r="H58" s="62" t="str">
        <f t="shared" si="54"/>
        <v>0</v>
      </c>
      <c r="I58" s="62" t="str">
        <f t="shared" si="54"/>
        <v>K</v>
      </c>
      <c r="J58" s="59"/>
      <c r="K58" s="60"/>
      <c r="L58"/>
      <c r="M58" s="57" t="s">
        <v>10</v>
      </c>
      <c r="N58" s="58"/>
      <c r="O58" s="62" t="str">
        <f t="shared" ref="O58:U58" si="55">O28</f>
        <v>M</v>
      </c>
      <c r="P58" s="62" t="str">
        <f t="shared" si="55"/>
        <v>L</v>
      </c>
      <c r="Q58" s="62" t="str">
        <f t="shared" si="55"/>
        <v>B</v>
      </c>
      <c r="R58" s="62" t="str">
        <f t="shared" si="55"/>
        <v>E</v>
      </c>
      <c r="S58" s="62" t="str">
        <f t="shared" si="55"/>
        <v>1</v>
      </c>
      <c r="T58" s="62" t="str">
        <f t="shared" si="55"/>
        <v>0</v>
      </c>
      <c r="U58" s="62" t="str">
        <f t="shared" si="55"/>
        <v>K</v>
      </c>
      <c r="V58" s="59"/>
      <c r="W58" s="60"/>
    </row>
    <row r="59" spans="1:23" ht="4.5" customHeight="1" x14ac:dyDescent="0.25">
      <c r="A59" s="64"/>
      <c r="B59" s="65"/>
      <c r="C59" s="66"/>
      <c r="D59" s="66"/>
      <c r="E59" s="66"/>
      <c r="F59" s="66"/>
      <c r="G59" s="66"/>
      <c r="H59" s="66"/>
      <c r="I59" s="66"/>
      <c r="J59" s="67"/>
      <c r="K59" s="68"/>
      <c r="L59" s="74"/>
      <c r="M59" s="64"/>
      <c r="N59" s="65"/>
      <c r="O59" s="66"/>
      <c r="P59" s="66"/>
      <c r="Q59" s="66"/>
      <c r="R59" s="66"/>
      <c r="S59" s="66"/>
      <c r="T59" s="66"/>
      <c r="U59" s="66"/>
      <c r="V59" s="67"/>
      <c r="W59" s="68"/>
    </row>
    <row r="60" spans="1:23" x14ac:dyDescent="0.2">
      <c r="L60" s="6"/>
    </row>
    <row r="61" spans="1:23" x14ac:dyDescent="0.2">
      <c r="L61" s="6"/>
    </row>
  </sheetData>
  <sheetProtection selectLockedCells="1" selectUnlockedCells="1"/>
  <mergeCells count="12">
    <mergeCell ref="J31:K31"/>
    <mergeCell ref="M31:U31"/>
    <mergeCell ref="V31:W31"/>
    <mergeCell ref="M45:N45"/>
    <mergeCell ref="A1:I1"/>
    <mergeCell ref="J1:K1"/>
    <mergeCell ref="M1:U1"/>
    <mergeCell ref="V1:W1"/>
    <mergeCell ref="A45:B45"/>
    <mergeCell ref="A15:B15"/>
    <mergeCell ref="M15:N15"/>
    <mergeCell ref="A31:I31"/>
  </mergeCells>
  <phoneticPr fontId="12" type="noConversion"/>
  <pageMargins left="0.51181102362204722" right="0.27559055118110237" top="0.62992125984251968" bottom="0.35433070866141736" header="0.51181102362204722" footer="0.51181102362204722"/>
  <pageSetup paperSize="9" scale="94" firstPageNumber="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SPELERSINFO</vt:lpstr>
      <vt:lpstr>STICKER</vt:lpstr>
      <vt:lpstr>SPELERSINFO!Afdrukbereik</vt:lpstr>
      <vt:lpstr>STICKER!Afdrukbereik</vt:lpstr>
      <vt:lpstr>Excel_BuiltIn_Print_Area_1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michael</cp:lastModifiedBy>
  <cp:lastPrinted>2013-09-08T15:31:30Z</cp:lastPrinted>
  <dcterms:created xsi:type="dcterms:W3CDTF">2012-08-26T11:14:38Z</dcterms:created>
  <dcterms:modified xsi:type="dcterms:W3CDTF">2013-09-08T19:50:10Z</dcterms:modified>
</cp:coreProperties>
</file>