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360" yWindow="270" windowWidth="14940" windowHeight="9150"/>
  </bookViews>
  <sheets>
    <sheet name="World Cup 2006" sheetId="1" r:id="rId1"/>
    <sheet name="T" sheetId="2" r:id="rId2"/>
  </sheets>
  <definedNames>
    <definedName name="_xlnm.Print_Area" localSheetId="0">'World Cup 2006'!$A$1:$P$88</definedName>
    <definedName name="GMT">'World Cup 2006'!$BI$6</definedName>
    <definedName name="GMT_MIN">'World Cup 2006'!$BM$6</definedName>
    <definedName name="language">'World Cup 2006'!$BK$6</definedName>
    <definedName name="T">T!$1:$1048576</definedName>
  </definedNames>
  <calcPr calcId="145621"/>
</workbook>
</file>

<file path=xl/calcChain.xml><?xml version="1.0" encoding="utf-8"?>
<calcChain xmlns="http://schemas.openxmlformats.org/spreadsheetml/2006/main">
  <c r="BI6" i="1" l="1"/>
  <c r="B58" i="1" s="1"/>
  <c r="BK6" i="1"/>
  <c r="U7" i="1" s="1"/>
  <c r="F39" i="1" s="1"/>
  <c r="BM6" i="1"/>
  <c r="AO7" i="1"/>
  <c r="AQ7" i="1"/>
  <c r="AS7" i="1"/>
  <c r="AU7" i="1"/>
  <c r="AO8" i="1"/>
  <c r="AQ8" i="1"/>
  <c r="AS8" i="1"/>
  <c r="AU8" i="1"/>
  <c r="AO9" i="1"/>
  <c r="AQ9" i="1"/>
  <c r="AS9" i="1"/>
  <c r="AU9" i="1"/>
  <c r="AO10" i="1"/>
  <c r="AQ10" i="1"/>
  <c r="AS10" i="1"/>
  <c r="AU10" i="1"/>
  <c r="AO11" i="1"/>
  <c r="AQ11" i="1"/>
  <c r="AS11" i="1"/>
  <c r="AU11" i="1"/>
  <c r="AO12" i="1"/>
  <c r="AQ12" i="1"/>
  <c r="AS12" i="1"/>
  <c r="AU12" i="1"/>
  <c r="AO13" i="1"/>
  <c r="AQ13" i="1"/>
  <c r="AS13" i="1"/>
  <c r="AU13" i="1"/>
  <c r="AO14" i="1"/>
  <c r="AQ14" i="1"/>
  <c r="AS14" i="1"/>
  <c r="AU14" i="1"/>
  <c r="AO15" i="1"/>
  <c r="AQ15" i="1"/>
  <c r="AS15" i="1"/>
  <c r="AU15" i="1"/>
  <c r="AO16" i="1"/>
  <c r="AQ16" i="1"/>
  <c r="AS16" i="1"/>
  <c r="AU16" i="1"/>
  <c r="AO17" i="1"/>
  <c r="AQ17" i="1"/>
  <c r="AS17" i="1"/>
  <c r="AU17" i="1"/>
  <c r="AO18" i="1"/>
  <c r="AQ18" i="1"/>
  <c r="AS18" i="1"/>
  <c r="AU18" i="1"/>
  <c r="AO19" i="1"/>
  <c r="AQ19" i="1"/>
  <c r="AS19" i="1"/>
  <c r="AU19" i="1"/>
  <c r="AO20" i="1"/>
  <c r="AQ20" i="1"/>
  <c r="AS20" i="1"/>
  <c r="AU20" i="1"/>
  <c r="AO21" i="1"/>
  <c r="AQ21" i="1"/>
  <c r="AS21" i="1"/>
  <c r="AU21" i="1"/>
  <c r="AO22" i="1"/>
  <c r="AQ22" i="1"/>
  <c r="AS22" i="1"/>
  <c r="AU22" i="1"/>
  <c r="AO23" i="1"/>
  <c r="AQ23" i="1"/>
  <c r="AS23" i="1"/>
  <c r="AU23" i="1"/>
  <c r="AO24" i="1"/>
  <c r="AQ24" i="1"/>
  <c r="AS24" i="1"/>
  <c r="AU24" i="1"/>
  <c r="AO25" i="1"/>
  <c r="AQ25" i="1"/>
  <c r="AS25" i="1"/>
  <c r="AU25" i="1"/>
  <c r="AO26" i="1"/>
  <c r="AQ26" i="1"/>
  <c r="AS26" i="1"/>
  <c r="AU26" i="1"/>
  <c r="AO27" i="1"/>
  <c r="AQ27" i="1"/>
  <c r="AS27" i="1"/>
  <c r="AU27" i="1"/>
  <c r="AO28" i="1"/>
  <c r="AQ28" i="1"/>
  <c r="AS28" i="1"/>
  <c r="AU28" i="1"/>
  <c r="AO29" i="1"/>
  <c r="AQ29" i="1"/>
  <c r="AS29" i="1"/>
  <c r="AU29" i="1"/>
  <c r="AO30" i="1"/>
  <c r="AQ30" i="1"/>
  <c r="AS30" i="1"/>
  <c r="AU30" i="1"/>
  <c r="AO31" i="1"/>
  <c r="AQ31" i="1"/>
  <c r="AS31" i="1"/>
  <c r="AU31" i="1"/>
  <c r="AO32" i="1"/>
  <c r="AQ32" i="1"/>
  <c r="AS32" i="1"/>
  <c r="AU32" i="1"/>
  <c r="AO33" i="1"/>
  <c r="AQ33" i="1"/>
  <c r="AS33" i="1"/>
  <c r="AU33" i="1"/>
  <c r="AO34" i="1"/>
  <c r="AQ34" i="1"/>
  <c r="AS34" i="1"/>
  <c r="AU34" i="1"/>
  <c r="AO35" i="1"/>
  <c r="AQ35" i="1"/>
  <c r="AS35" i="1"/>
  <c r="AU35" i="1"/>
  <c r="AO36" i="1"/>
  <c r="AQ36" i="1"/>
  <c r="AS36" i="1"/>
  <c r="AU36" i="1"/>
  <c r="AO37" i="1"/>
  <c r="AQ37" i="1"/>
  <c r="AS37" i="1"/>
  <c r="AU37" i="1"/>
  <c r="AO38" i="1"/>
  <c r="AQ38" i="1"/>
  <c r="AS38" i="1"/>
  <c r="AU38" i="1"/>
  <c r="AO39" i="1"/>
  <c r="AQ39" i="1"/>
  <c r="AS39" i="1"/>
  <c r="AU39" i="1"/>
  <c r="A40" i="1"/>
  <c r="AO40" i="1"/>
  <c r="AQ40" i="1"/>
  <c r="AS40" i="1"/>
  <c r="AU40" i="1"/>
  <c r="AO41" i="1"/>
  <c r="AQ41" i="1"/>
  <c r="AS41" i="1"/>
  <c r="AU41" i="1"/>
  <c r="AO42" i="1"/>
  <c r="AQ42" i="1"/>
  <c r="AS42" i="1"/>
  <c r="AU42" i="1"/>
  <c r="B43" i="1"/>
  <c r="AO43" i="1"/>
  <c r="AQ43" i="1"/>
  <c r="AS43" i="1"/>
  <c r="AU43" i="1"/>
  <c r="AO44" i="1"/>
  <c r="AQ44" i="1"/>
  <c r="AS44" i="1"/>
  <c r="AU44" i="1"/>
  <c r="AO45" i="1"/>
  <c r="AQ45" i="1"/>
  <c r="AS45" i="1"/>
  <c r="AU45" i="1"/>
  <c r="AO46" i="1"/>
  <c r="AQ46" i="1"/>
  <c r="AS46" i="1"/>
  <c r="AU46" i="1"/>
  <c r="A47" i="1"/>
  <c r="O47" i="1"/>
  <c r="AO47" i="1"/>
  <c r="AQ47" i="1"/>
  <c r="AS47" i="1"/>
  <c r="AU47" i="1"/>
  <c r="B48" i="1"/>
  <c r="AO48" i="1"/>
  <c r="AQ48" i="1"/>
  <c r="AS48" i="1"/>
  <c r="AU48" i="1"/>
  <c r="AO49" i="1"/>
  <c r="AQ49" i="1"/>
  <c r="AS49" i="1"/>
  <c r="AU49" i="1"/>
  <c r="AO50" i="1"/>
  <c r="AQ50" i="1"/>
  <c r="AS50" i="1"/>
  <c r="AU50" i="1"/>
  <c r="AO51" i="1"/>
  <c r="AQ51" i="1"/>
  <c r="AS51" i="1"/>
  <c r="AU51" i="1"/>
  <c r="AO52" i="1"/>
  <c r="AQ52" i="1"/>
  <c r="AS52" i="1"/>
  <c r="AU52" i="1"/>
  <c r="AO53" i="1"/>
  <c r="AQ53" i="1"/>
  <c r="AS53" i="1"/>
  <c r="AU53" i="1"/>
  <c r="A54" i="1"/>
  <c r="N54" i="1"/>
  <c r="AO54" i="1"/>
  <c r="AQ54" i="1"/>
  <c r="AS54" i="1"/>
  <c r="AU54" i="1"/>
  <c r="A56" i="1"/>
  <c r="AP58" i="1"/>
  <c r="A59" i="1"/>
  <c r="B59" i="1"/>
  <c r="AP59" i="1"/>
  <c r="AP60" i="1"/>
  <c r="B61" i="1"/>
  <c r="AP61" i="1"/>
  <c r="AP62" i="1"/>
  <c r="B64" i="1"/>
  <c r="AP64" i="1"/>
  <c r="AP65" i="1"/>
  <c r="A70" i="1"/>
  <c r="B70" i="1"/>
  <c r="AP70" i="1"/>
  <c r="AP72" i="1"/>
  <c r="A74" i="1"/>
  <c r="A76" i="1"/>
  <c r="AR77" i="1"/>
  <c r="AS77" i="1"/>
  <c r="A81" i="1"/>
  <c r="B81" i="1"/>
  <c r="AP81" i="1"/>
  <c r="AR39" i="1" l="1"/>
  <c r="AW39" i="1"/>
  <c r="B51" i="1"/>
  <c r="A50" i="1"/>
  <c r="K47" i="1"/>
  <c r="O40" i="1"/>
  <c r="B37" i="1"/>
  <c r="B36" i="1"/>
  <c r="L33" i="1"/>
  <c r="U31" i="1"/>
  <c r="C44" i="1" s="1"/>
  <c r="B28" i="1"/>
  <c r="J19" i="1"/>
  <c r="N12" i="1"/>
  <c r="A85" i="1"/>
  <c r="B77" i="1"/>
  <c r="B71" i="1"/>
  <c r="A60" i="1"/>
  <c r="A58" i="1"/>
  <c r="B52" i="1"/>
  <c r="A51" i="1"/>
  <c r="J47" i="1"/>
  <c r="B46" i="1"/>
  <c r="N40" i="1"/>
  <c r="B38" i="1"/>
  <c r="A37" i="1"/>
  <c r="K33" i="1"/>
  <c r="B31" i="1"/>
  <c r="A28" i="1"/>
  <c r="B22" i="1"/>
  <c r="A83" i="1"/>
  <c r="A77" i="1"/>
  <c r="A71" i="1"/>
  <c r="B65" i="1"/>
  <c r="B62" i="1"/>
  <c r="U57" i="1"/>
  <c r="A52" i="1"/>
  <c r="A46" i="1"/>
  <c r="B41" i="1"/>
  <c r="J40" i="1"/>
  <c r="A38" i="1"/>
  <c r="B34" i="1"/>
  <c r="B33" i="1"/>
  <c r="B32" i="1"/>
  <c r="B25" i="1"/>
  <c r="A22" i="1"/>
  <c r="U17" i="1"/>
  <c r="B76" i="1"/>
  <c r="A65" i="1"/>
  <c r="A62" i="1"/>
  <c r="U59" i="1"/>
  <c r="C52" i="1" s="1"/>
  <c r="AP52" i="1" s="1"/>
  <c r="U56" i="1"/>
  <c r="O54" i="1"/>
  <c r="B54" i="1"/>
  <c r="B47" i="1"/>
  <c r="U43" i="1"/>
  <c r="F20" i="1" s="1"/>
  <c r="AR20" i="1" s="1"/>
  <c r="A41" i="1"/>
  <c r="B40" i="1"/>
  <c r="B39" i="1"/>
  <c r="A33" i="1"/>
  <c r="A32" i="1"/>
  <c r="B29" i="1"/>
  <c r="J26" i="1"/>
  <c r="B15" i="1"/>
  <c r="B8" i="1"/>
  <c r="B23" i="1"/>
  <c r="B35" i="1"/>
  <c r="B26" i="1"/>
  <c r="B18" i="1"/>
  <c r="B9" i="1"/>
  <c r="M47" i="1"/>
  <c r="A44" i="1"/>
  <c r="U36" i="1"/>
  <c r="B30" i="1"/>
  <c r="B27" i="1"/>
  <c r="A9" i="1"/>
  <c r="B42" i="1"/>
  <c r="A79" i="1"/>
  <c r="B69" i="1"/>
  <c r="A64" i="1"/>
  <c r="A61" i="1"/>
  <c r="L54" i="1"/>
  <c r="B53" i="1"/>
  <c r="U52" i="1"/>
  <c r="U50" i="1"/>
  <c r="C53" i="1" s="1"/>
  <c r="AP53" i="1" s="1"/>
  <c r="B49" i="1"/>
  <c r="A87" i="1"/>
  <c r="B72" i="1"/>
  <c r="A69" i="1"/>
  <c r="B63" i="1"/>
  <c r="U58" i="1"/>
  <c r="F51" i="1" s="1"/>
  <c r="AW51" i="1" s="1"/>
  <c r="K54" i="1"/>
  <c r="A53" i="1"/>
  <c r="U51" i="1"/>
  <c r="F53" i="1" s="1"/>
  <c r="B50" i="1"/>
  <c r="A49" i="1"/>
  <c r="L47" i="1"/>
  <c r="B45" i="1"/>
  <c r="U37" i="1"/>
  <c r="N33" i="1"/>
  <c r="B24" i="1"/>
  <c r="U49" i="1"/>
  <c r="F54" i="1" s="1"/>
  <c r="AR54" i="1" s="1"/>
  <c r="A48" i="1"/>
  <c r="N47" i="1"/>
  <c r="B44" i="1"/>
  <c r="B85" i="1"/>
  <c r="A72" i="1"/>
  <c r="A67" i="1"/>
  <c r="A63" i="1"/>
  <c r="B60" i="1"/>
  <c r="J54" i="1"/>
  <c r="M54" i="1"/>
  <c r="AR51" i="1"/>
  <c r="AT51" i="1"/>
  <c r="F36" i="1"/>
  <c r="F17" i="1"/>
  <c r="F31" i="1"/>
  <c r="C47" i="1"/>
  <c r="C22" i="1"/>
  <c r="F38" i="1"/>
  <c r="AN44" i="1"/>
  <c r="AV44" i="1"/>
  <c r="AP44" i="1"/>
  <c r="AN52" i="1"/>
  <c r="AV52" i="1"/>
  <c r="C19" i="1"/>
  <c r="C35" i="1"/>
  <c r="AT39" i="1"/>
  <c r="F22" i="1"/>
  <c r="C37" i="1"/>
  <c r="F21" i="1"/>
  <c r="F37" i="1"/>
  <c r="C51" i="1"/>
  <c r="AW54" i="1"/>
  <c r="C16" i="1"/>
  <c r="F10" i="1"/>
  <c r="F14" i="1"/>
  <c r="C30" i="1"/>
  <c r="C7" i="1"/>
  <c r="C23" i="1"/>
  <c r="C18" i="1"/>
  <c r="F35" i="1"/>
  <c r="U45" i="1"/>
  <c r="A43" i="1"/>
  <c r="M40" i="1"/>
  <c r="A26" i="1"/>
  <c r="U44" i="1"/>
  <c r="A42" i="1"/>
  <c r="K40" i="1"/>
  <c r="U35" i="1"/>
  <c r="A35" i="1"/>
  <c r="O33" i="1"/>
  <c r="U30" i="1"/>
  <c r="A16" i="1"/>
  <c r="A1" i="1"/>
  <c r="N5" i="1"/>
  <c r="U10" i="1"/>
  <c r="U16" i="1"/>
  <c r="O19" i="1"/>
  <c r="J5" i="1"/>
  <c r="L12" i="1"/>
  <c r="K19" i="1"/>
  <c r="U21" i="1"/>
  <c r="K5" i="1"/>
  <c r="U8" i="1"/>
  <c r="M12" i="1"/>
  <c r="L19" i="1"/>
  <c r="M5" i="1"/>
  <c r="U9" i="1"/>
  <c r="O12" i="1"/>
  <c r="N19" i="1"/>
  <c r="U22" i="1"/>
  <c r="A3" i="1"/>
  <c r="M19" i="1"/>
  <c r="U23" i="1"/>
  <c r="A24" i="1"/>
  <c r="O26" i="1"/>
  <c r="D3" i="1"/>
  <c r="A10" i="1"/>
  <c r="U14" i="1"/>
  <c r="O5" i="1"/>
  <c r="J12" i="1"/>
  <c r="U15" i="1"/>
  <c r="K26" i="1"/>
  <c r="U28" i="1"/>
  <c r="A30" i="1"/>
  <c r="K12" i="1"/>
  <c r="A15" i="1"/>
  <c r="A23" i="1"/>
  <c r="A25" i="1"/>
  <c r="L26" i="1"/>
  <c r="A5" i="1"/>
  <c r="A20" i="1"/>
  <c r="A29" i="1"/>
  <c r="U29" i="1"/>
  <c r="M33" i="1"/>
  <c r="A34" i="1"/>
  <c r="A39" i="1"/>
  <c r="L40" i="1"/>
  <c r="L5" i="1"/>
  <c r="A12" i="1"/>
  <c r="A14" i="1"/>
  <c r="M26" i="1"/>
  <c r="A27" i="1"/>
  <c r="A31" i="1"/>
  <c r="A36" i="1"/>
  <c r="U38" i="1"/>
  <c r="N26" i="1"/>
  <c r="J33" i="1"/>
  <c r="A45" i="1"/>
  <c r="U42" i="1"/>
  <c r="U24" i="1"/>
  <c r="A8" i="1"/>
  <c r="B19" i="1"/>
  <c r="B21" i="1"/>
  <c r="B10" i="1"/>
  <c r="A11" i="1"/>
  <c r="B16" i="1"/>
  <c r="A17" i="1"/>
  <c r="A7" i="1"/>
  <c r="B11" i="1"/>
  <c r="A13" i="1"/>
  <c r="B17" i="1"/>
  <c r="A18" i="1"/>
  <c r="B12" i="1"/>
  <c r="B14" i="1"/>
  <c r="A19" i="1"/>
  <c r="B20" i="1"/>
  <c r="A21" i="1"/>
  <c r="B13" i="1"/>
  <c r="B7" i="1"/>
  <c r="AW20" i="1" l="1"/>
  <c r="C49" i="1"/>
  <c r="F33" i="1"/>
  <c r="AV53" i="1"/>
  <c r="AT54" i="1"/>
  <c r="C42" i="1"/>
  <c r="C26" i="1"/>
  <c r="AT20" i="1"/>
  <c r="AN53" i="1"/>
  <c r="F19" i="1"/>
  <c r="AT19" i="1" s="1"/>
  <c r="F18" i="1"/>
  <c r="C36" i="1"/>
  <c r="C54" i="1"/>
  <c r="C21" i="1"/>
  <c r="F52" i="1"/>
  <c r="C38" i="1"/>
  <c r="AW53" i="1"/>
  <c r="AT53" i="1"/>
  <c r="AR53" i="1"/>
  <c r="F47" i="1"/>
  <c r="F32" i="1"/>
  <c r="AP18" i="1"/>
  <c r="AN18" i="1"/>
  <c r="AV18" i="1"/>
  <c r="F23" i="1"/>
  <c r="C8" i="1"/>
  <c r="F40" i="1"/>
  <c r="AP23" i="1"/>
  <c r="AV23" i="1"/>
  <c r="AN23" i="1"/>
  <c r="AN51" i="1"/>
  <c r="AV51" i="1"/>
  <c r="AP51" i="1"/>
  <c r="AT31" i="1"/>
  <c r="AW31" i="1"/>
  <c r="AR31" i="1"/>
  <c r="F9" i="1"/>
  <c r="F26" i="1"/>
  <c r="C41" i="1"/>
  <c r="C12" i="1"/>
  <c r="F45" i="1"/>
  <c r="F27" i="1"/>
  <c r="AN47" i="1"/>
  <c r="AV47" i="1"/>
  <c r="AP47" i="1"/>
  <c r="AT36" i="1"/>
  <c r="AW36" i="1"/>
  <c r="AR36" i="1"/>
  <c r="C10" i="1"/>
  <c r="F25" i="1"/>
  <c r="F41" i="1"/>
  <c r="C17" i="1"/>
  <c r="C32" i="1"/>
  <c r="F48" i="1"/>
  <c r="AR33" i="1"/>
  <c r="AW33" i="1"/>
  <c r="AT33" i="1"/>
  <c r="AW37" i="1"/>
  <c r="AR37" i="1"/>
  <c r="AT37" i="1"/>
  <c r="AP37" i="1"/>
  <c r="AV37" i="1"/>
  <c r="AN37" i="1"/>
  <c r="AW19" i="1"/>
  <c r="AP19" i="1"/>
  <c r="AV19" i="1"/>
  <c r="AN19" i="1"/>
  <c r="C14" i="1"/>
  <c r="F29" i="1"/>
  <c r="F43" i="1"/>
  <c r="AP30" i="1"/>
  <c r="AV30" i="1"/>
  <c r="AN30" i="1"/>
  <c r="AT21" i="1"/>
  <c r="AW21" i="1"/>
  <c r="AR21" i="1"/>
  <c r="AT22" i="1"/>
  <c r="AW22" i="1"/>
  <c r="AR22" i="1"/>
  <c r="AR38" i="1"/>
  <c r="AW38" i="1"/>
  <c r="AT38" i="1"/>
  <c r="AN49" i="1"/>
  <c r="AV49" i="1"/>
  <c r="AP49" i="1"/>
  <c r="C13" i="1"/>
  <c r="C29" i="1"/>
  <c r="F44" i="1"/>
  <c r="F7" i="1"/>
  <c r="F24" i="1"/>
  <c r="C40" i="1"/>
  <c r="C24" i="1"/>
  <c r="F8" i="1"/>
  <c r="C39" i="1"/>
  <c r="C28" i="1"/>
  <c r="F12" i="1"/>
  <c r="C46" i="1"/>
  <c r="C9" i="1"/>
  <c r="C25" i="1"/>
  <c r="F42" i="1"/>
  <c r="F11" i="1"/>
  <c r="F28" i="1"/>
  <c r="C45" i="1"/>
  <c r="AP22" i="1"/>
  <c r="AV22" i="1"/>
  <c r="AN22" i="1"/>
  <c r="C20" i="1"/>
  <c r="C34" i="1"/>
  <c r="F50" i="1"/>
  <c r="F13" i="1"/>
  <c r="C43" i="1"/>
  <c r="F30" i="1"/>
  <c r="C27" i="1"/>
  <c r="C11" i="1"/>
  <c r="F46" i="1"/>
  <c r="C15" i="1"/>
  <c r="F34" i="1"/>
  <c r="F49" i="1"/>
  <c r="AR35" i="1"/>
  <c r="AT35" i="1"/>
  <c r="AW35" i="1"/>
  <c r="AN7" i="1"/>
  <c r="AV7" i="1"/>
  <c r="AP7" i="1"/>
  <c r="AR10" i="1"/>
  <c r="AW10" i="1"/>
  <c r="AT10" i="1"/>
  <c r="AN16" i="1"/>
  <c r="AV16" i="1"/>
  <c r="AP16" i="1"/>
  <c r="AW14" i="1"/>
  <c r="AR14" i="1"/>
  <c r="AT14" i="1"/>
  <c r="C31" i="1"/>
  <c r="F16" i="1"/>
  <c r="C48" i="1"/>
  <c r="F15" i="1"/>
  <c r="C33" i="1"/>
  <c r="C50" i="1"/>
  <c r="AN35" i="1"/>
  <c r="AV35" i="1"/>
  <c r="AP35" i="1"/>
  <c r="AR17" i="1"/>
  <c r="AT17" i="1"/>
  <c r="AW17" i="1"/>
  <c r="AN26" i="1" l="1"/>
  <c r="AP26" i="1"/>
  <c r="AV26" i="1"/>
  <c r="AV42" i="1"/>
  <c r="AN42" i="1"/>
  <c r="AP42" i="1"/>
  <c r="AR19" i="1"/>
  <c r="AV38" i="1"/>
  <c r="AP38" i="1"/>
  <c r="AN38" i="1"/>
  <c r="AW52" i="1"/>
  <c r="AR52" i="1"/>
  <c r="AT52" i="1"/>
  <c r="AN21" i="1"/>
  <c r="AV21" i="1"/>
  <c r="AP21" i="1"/>
  <c r="AW32" i="1"/>
  <c r="AT32" i="1"/>
  <c r="AR32" i="1"/>
  <c r="AP54" i="1"/>
  <c r="AV54" i="1"/>
  <c r="AN54" i="1"/>
  <c r="AW47" i="1"/>
  <c r="AT47" i="1"/>
  <c r="AR47" i="1"/>
  <c r="AV36" i="1"/>
  <c r="AP36" i="1"/>
  <c r="AN36" i="1"/>
  <c r="AW18" i="1"/>
  <c r="AR18" i="1"/>
  <c r="AT18" i="1"/>
  <c r="AP20" i="1"/>
  <c r="AN20" i="1"/>
  <c r="AV20" i="1"/>
  <c r="AW27" i="1"/>
  <c r="AT27" i="1"/>
  <c r="AR27" i="1"/>
  <c r="AP8" i="1"/>
  <c r="AV8" i="1"/>
  <c r="W16" i="1" s="1"/>
  <c r="AN8" i="1"/>
  <c r="AR30" i="1"/>
  <c r="AT30" i="1"/>
  <c r="AW30" i="1"/>
  <c r="AT28" i="1"/>
  <c r="AR28" i="1"/>
  <c r="AW28" i="1"/>
  <c r="AT11" i="1"/>
  <c r="AR11" i="1"/>
  <c r="AW11" i="1"/>
  <c r="AN40" i="1"/>
  <c r="AV40" i="1"/>
  <c r="AP40" i="1"/>
  <c r="AW15" i="1"/>
  <c r="AT15" i="1"/>
  <c r="AR15" i="1"/>
  <c r="AR16" i="1"/>
  <c r="AW16" i="1"/>
  <c r="AT16" i="1"/>
  <c r="AP43" i="1"/>
  <c r="AV43" i="1"/>
  <c r="AN43" i="1"/>
  <c r="AR24" i="1"/>
  <c r="AW24" i="1"/>
  <c r="AT24" i="1"/>
  <c r="AR7" i="1"/>
  <c r="AW7" i="1"/>
  <c r="V28" i="1" s="1"/>
  <c r="AT7" i="1"/>
  <c r="AN17" i="1"/>
  <c r="AV17" i="1"/>
  <c r="AP17" i="1"/>
  <c r="AP12" i="1"/>
  <c r="AV12" i="1"/>
  <c r="AN12" i="1"/>
  <c r="AT23" i="1"/>
  <c r="AW23" i="1"/>
  <c r="AR23" i="1"/>
  <c r="AP48" i="1"/>
  <c r="AV48" i="1"/>
  <c r="AN48" i="1"/>
  <c r="AP11" i="1"/>
  <c r="AV11" i="1"/>
  <c r="AN11" i="1"/>
  <c r="AR42" i="1"/>
  <c r="AT42" i="1"/>
  <c r="AW42" i="1"/>
  <c r="AN9" i="1"/>
  <c r="AV9" i="1"/>
  <c r="AP9" i="1"/>
  <c r="AP28" i="1"/>
  <c r="AV28" i="1"/>
  <c r="AN28" i="1"/>
  <c r="AP39" i="1"/>
  <c r="AN39" i="1"/>
  <c r="AV39" i="1"/>
  <c r="AP24" i="1"/>
  <c r="AV24" i="1"/>
  <c r="AN24" i="1"/>
  <c r="AN29" i="1"/>
  <c r="AV29" i="1"/>
  <c r="AP29" i="1"/>
  <c r="AW43" i="1"/>
  <c r="AR43" i="1"/>
  <c r="AT43" i="1"/>
  <c r="AN15" i="1"/>
  <c r="AV15" i="1"/>
  <c r="AP15" i="1"/>
  <c r="AP27" i="1"/>
  <c r="AN27" i="1"/>
  <c r="AV27" i="1"/>
  <c r="AT13" i="1"/>
  <c r="AR13" i="1"/>
  <c r="AW13" i="1"/>
  <c r="AP25" i="1"/>
  <c r="AV25" i="1"/>
  <c r="AN25" i="1"/>
  <c r="AN14" i="1"/>
  <c r="AV14" i="1"/>
  <c r="AP14" i="1"/>
  <c r="AN32" i="1"/>
  <c r="AV32" i="1"/>
  <c r="AP32" i="1"/>
  <c r="AT41" i="1"/>
  <c r="AR41" i="1"/>
  <c r="AW41" i="1"/>
  <c r="AN10" i="1"/>
  <c r="AV10" i="1"/>
  <c r="AP10" i="1"/>
  <c r="AT45" i="1"/>
  <c r="AR45" i="1"/>
  <c r="AW45" i="1"/>
  <c r="AW9" i="1"/>
  <c r="AT9" i="1"/>
  <c r="AR9" i="1"/>
  <c r="AT40" i="1"/>
  <c r="AR40" i="1"/>
  <c r="AW40" i="1"/>
  <c r="AN34" i="1"/>
  <c r="AV34" i="1"/>
  <c r="AP34" i="1"/>
  <c r="AP13" i="1"/>
  <c r="AV13" i="1"/>
  <c r="AN13" i="1"/>
  <c r="AT26" i="1"/>
  <c r="AW26" i="1"/>
  <c r="AR26" i="1"/>
  <c r="AP46" i="1"/>
  <c r="AV46" i="1"/>
  <c r="AN46" i="1"/>
  <c r="AR12" i="1"/>
  <c r="AT12" i="1"/>
  <c r="AW12" i="1"/>
  <c r="AV31" i="1"/>
  <c r="AN31" i="1"/>
  <c r="AP31" i="1"/>
  <c r="AR49" i="1"/>
  <c r="AW49" i="1"/>
  <c r="AT49" i="1"/>
  <c r="AW46" i="1"/>
  <c r="AT46" i="1"/>
  <c r="AR46" i="1"/>
  <c r="X23" i="1"/>
  <c r="AP41" i="1"/>
  <c r="AV41" i="1"/>
  <c r="AN41" i="1"/>
  <c r="AR44" i="1"/>
  <c r="AW44" i="1"/>
  <c r="AT44" i="1"/>
  <c r="AW50" i="1"/>
  <c r="AT50" i="1"/>
  <c r="AR50" i="1"/>
  <c r="AN45" i="1"/>
  <c r="AV45" i="1"/>
  <c r="AP45" i="1"/>
  <c r="AT8" i="1"/>
  <c r="AW8" i="1"/>
  <c r="AR8" i="1"/>
  <c r="AP50" i="1"/>
  <c r="AV50" i="1"/>
  <c r="AN50" i="1"/>
  <c r="AN33" i="1"/>
  <c r="AV33" i="1"/>
  <c r="AP33" i="1"/>
  <c r="AW34" i="1"/>
  <c r="AR34" i="1"/>
  <c r="AT34" i="1"/>
  <c r="X8" i="1"/>
  <c r="AR29" i="1"/>
  <c r="AT29" i="1"/>
  <c r="AW29" i="1"/>
  <c r="AT48" i="1"/>
  <c r="AW48" i="1"/>
  <c r="AR48" i="1"/>
  <c r="AW25" i="1"/>
  <c r="AR25" i="1"/>
  <c r="AT25" i="1"/>
  <c r="X30" i="1" l="1"/>
  <c r="X29" i="1"/>
  <c r="V36" i="1"/>
  <c r="V43" i="1"/>
  <c r="V16" i="1"/>
  <c r="AA16" i="1" s="1"/>
  <c r="W58" i="1"/>
  <c r="V49" i="1"/>
  <c r="X28" i="1"/>
  <c r="Z51" i="1"/>
  <c r="Z56" i="1"/>
  <c r="Z52" i="1"/>
  <c r="Z43" i="1"/>
  <c r="Z57" i="1"/>
  <c r="Z31" i="1"/>
  <c r="Z49" i="1"/>
  <c r="Z37" i="1"/>
  <c r="Z7" i="1"/>
  <c r="Z50" i="1"/>
  <c r="Z17" i="1"/>
  <c r="Z59" i="1"/>
  <c r="Z36" i="1"/>
  <c r="Z58" i="1"/>
  <c r="Z24" i="1"/>
  <c r="Z14" i="1"/>
  <c r="Z42" i="1"/>
  <c r="Z45" i="1"/>
  <c r="Z16" i="1"/>
  <c r="Z22" i="1"/>
  <c r="Z44" i="1"/>
  <c r="Z9" i="1"/>
  <c r="Z15" i="1"/>
  <c r="Z30" i="1"/>
  <c r="Z28" i="1"/>
  <c r="Z8" i="1"/>
  <c r="Z10" i="1"/>
  <c r="Z29" i="1"/>
  <c r="Z21" i="1"/>
  <c r="Z23" i="1"/>
  <c r="Z35" i="1"/>
  <c r="Z38" i="1"/>
  <c r="W42" i="1"/>
  <c r="W17" i="1"/>
  <c r="V58" i="1"/>
  <c r="W50" i="1"/>
  <c r="W52" i="1"/>
  <c r="V10" i="1"/>
  <c r="V9" i="1"/>
  <c r="X21" i="1"/>
  <c r="X36" i="1"/>
  <c r="V31" i="1"/>
  <c r="X31" i="1"/>
  <c r="W59" i="1"/>
  <c r="V59" i="1"/>
  <c r="X52" i="1"/>
  <c r="W10" i="1"/>
  <c r="W37" i="1"/>
  <c r="V50" i="1"/>
  <c r="W44" i="1"/>
  <c r="X57" i="1"/>
  <c r="X56" i="1"/>
  <c r="W28" i="1"/>
  <c r="AA28" i="1" s="1"/>
  <c r="W51" i="1"/>
  <c r="V23" i="1"/>
  <c r="W14" i="1"/>
  <c r="X38" i="1"/>
  <c r="W43" i="1"/>
  <c r="X43" i="1"/>
  <c r="V57" i="1"/>
  <c r="W21" i="1"/>
  <c r="W35" i="1"/>
  <c r="V38" i="1"/>
  <c r="V17" i="1"/>
  <c r="X59" i="1"/>
  <c r="V52" i="1"/>
  <c r="X15" i="1"/>
  <c r="V30" i="1"/>
  <c r="W30" i="1"/>
  <c r="V15" i="1"/>
  <c r="W57" i="1"/>
  <c r="W7" i="1"/>
  <c r="X50" i="1"/>
  <c r="X51" i="1"/>
  <c r="W56" i="1"/>
  <c r="X9" i="1"/>
  <c r="V7" i="1"/>
  <c r="X17" i="1"/>
  <c r="W36" i="1"/>
  <c r="X49" i="1"/>
  <c r="V56" i="1"/>
  <c r="V35" i="1"/>
  <c r="V14" i="1"/>
  <c r="V37" i="1"/>
  <c r="V51" i="1"/>
  <c r="X22" i="1"/>
  <c r="W9" i="1"/>
  <c r="X35" i="1"/>
  <c r="W38" i="1"/>
  <c r="W22" i="1"/>
  <c r="V42" i="1"/>
  <c r="X44" i="1"/>
  <c r="X16" i="1"/>
  <c r="X24" i="1"/>
  <c r="V24" i="1"/>
  <c r="V45" i="1"/>
  <c r="W23" i="1"/>
  <c r="V8" i="1"/>
  <c r="V22" i="1"/>
  <c r="X14" i="1"/>
  <c r="V21" i="1"/>
  <c r="X42" i="1"/>
  <c r="V44" i="1"/>
  <c r="X45" i="1"/>
  <c r="W8" i="1"/>
  <c r="W45" i="1"/>
  <c r="W15" i="1"/>
  <c r="W24" i="1"/>
  <c r="X10" i="1"/>
  <c r="W29" i="1"/>
  <c r="W49" i="1"/>
  <c r="X7" i="1"/>
  <c r="X58" i="1"/>
  <c r="X37" i="1"/>
  <c r="W31" i="1"/>
  <c r="V29" i="1"/>
  <c r="Y51" i="1"/>
  <c r="Y56" i="1"/>
  <c r="Y37" i="1"/>
  <c r="Y57" i="1"/>
  <c r="Y59" i="1"/>
  <c r="Y43" i="1"/>
  <c r="Y50" i="1"/>
  <c r="Y52" i="1"/>
  <c r="Y36" i="1"/>
  <c r="Y31" i="1"/>
  <c r="Y17" i="1"/>
  <c r="Y49" i="1"/>
  <c r="Y58" i="1"/>
  <c r="Y7" i="1"/>
  <c r="Y15" i="1"/>
  <c r="Y23" i="1"/>
  <c r="Y35" i="1"/>
  <c r="Y30" i="1"/>
  <c r="Y29" i="1"/>
  <c r="Y45" i="1"/>
  <c r="Y28" i="1"/>
  <c r="Y21" i="1"/>
  <c r="Y42" i="1"/>
  <c r="Y24" i="1"/>
  <c r="Y8" i="1"/>
  <c r="Y44" i="1"/>
  <c r="Y38" i="1"/>
  <c r="Y9" i="1"/>
  <c r="Y22" i="1"/>
  <c r="Y14" i="1"/>
  <c r="Y16" i="1"/>
  <c r="Y10" i="1"/>
  <c r="AA30" i="1" l="1"/>
  <c r="AA22" i="1"/>
  <c r="AA52" i="1"/>
  <c r="AA29" i="1"/>
  <c r="AA37" i="1"/>
  <c r="AA57" i="1"/>
  <c r="AA58" i="1"/>
  <c r="AA8" i="1"/>
  <c r="AA10" i="1"/>
  <c r="AA43" i="1"/>
  <c r="AA36" i="1"/>
  <c r="AA14" i="1"/>
  <c r="AA44" i="1"/>
  <c r="AA24" i="1"/>
  <c r="AA38" i="1"/>
  <c r="AA23" i="1"/>
  <c r="AA9" i="1"/>
  <c r="AA49" i="1"/>
  <c r="AA15" i="1"/>
  <c r="AA21" i="1"/>
  <c r="AA51" i="1"/>
  <c r="AA7" i="1"/>
  <c r="AA59" i="1"/>
  <c r="AA42" i="1"/>
  <c r="AA35" i="1"/>
  <c r="AA56" i="1"/>
  <c r="AA50" i="1"/>
  <c r="AA31" i="1"/>
  <c r="AA45" i="1"/>
  <c r="AA17" i="1"/>
  <c r="AC8" i="1" l="1"/>
  <c r="AC52" i="1"/>
  <c r="AC30" i="1"/>
  <c r="AC16" i="1"/>
  <c r="AC36" i="1"/>
  <c r="AC10" i="1"/>
  <c r="AC22" i="1"/>
  <c r="AC37" i="1"/>
  <c r="AC58" i="1"/>
  <c r="AC42" i="1"/>
  <c r="AC21" i="1"/>
  <c r="AC57" i="1"/>
  <c r="AC59" i="1"/>
  <c r="AC38" i="1"/>
  <c r="AC45" i="1"/>
  <c r="AC24" i="1"/>
  <c r="AC14" i="1"/>
  <c r="AC31" i="1"/>
  <c r="AC35" i="1"/>
  <c r="AC29" i="1"/>
  <c r="AC49" i="1"/>
  <c r="AC23" i="1"/>
  <c r="AC17" i="1"/>
  <c r="AC15" i="1"/>
  <c r="AC44" i="1"/>
  <c r="AC7" i="1"/>
  <c r="AC56" i="1"/>
  <c r="AC9" i="1"/>
  <c r="AC43" i="1"/>
  <c r="AC50" i="1"/>
  <c r="AC51" i="1"/>
  <c r="AC28" i="1"/>
  <c r="AC60" i="1" l="1"/>
  <c r="AE56" i="1"/>
  <c r="AC11" i="1"/>
  <c r="AE7" i="1" s="1"/>
  <c r="AC18" i="1"/>
  <c r="AE14" i="1" s="1"/>
  <c r="AC53" i="1"/>
  <c r="AE49" i="1" s="1"/>
  <c r="AC39" i="1"/>
  <c r="AE35" i="1" s="1"/>
  <c r="AC25" i="1"/>
  <c r="AE21" i="1" s="1"/>
  <c r="AC32" i="1"/>
  <c r="AE28" i="1" s="1"/>
  <c r="AC46" i="1"/>
  <c r="AE42" i="1" s="1"/>
  <c r="AF29" i="1" l="1"/>
  <c r="AF28" i="1"/>
  <c r="AF30" i="1"/>
  <c r="AF31" i="1"/>
  <c r="AF22" i="1"/>
  <c r="AF21" i="1"/>
  <c r="AF24" i="1"/>
  <c r="AF23" i="1"/>
  <c r="AF36" i="1"/>
  <c r="AF37" i="1"/>
  <c r="AF35" i="1"/>
  <c r="AF38" i="1"/>
  <c r="AF52" i="1"/>
  <c r="AF51" i="1"/>
  <c r="AF49" i="1"/>
  <c r="AM54" i="1" s="1"/>
  <c r="AF50" i="1"/>
  <c r="AF16" i="1"/>
  <c r="AF17" i="1"/>
  <c r="AF15" i="1"/>
  <c r="AF14" i="1"/>
  <c r="AF43" i="1"/>
  <c r="AF45" i="1"/>
  <c r="AF42" i="1"/>
  <c r="AM50" i="1" s="1"/>
  <c r="AF44" i="1"/>
  <c r="AF10" i="1"/>
  <c r="AF8" i="1"/>
  <c r="AF9" i="1"/>
  <c r="AF7" i="1"/>
  <c r="AF58" i="1"/>
  <c r="AF57" i="1"/>
  <c r="AF56" i="1"/>
  <c r="AF59" i="1"/>
  <c r="AM18" i="1" l="1"/>
  <c r="AM39" i="1"/>
  <c r="AM42" i="1"/>
  <c r="AZ42" i="1" s="1"/>
  <c r="AM16" i="1"/>
  <c r="AZ16" i="1" s="1"/>
  <c r="AM46" i="1"/>
  <c r="AY46" i="1" s="1"/>
  <c r="AM14" i="1"/>
  <c r="AX14" i="1" s="1"/>
  <c r="AM52" i="1"/>
  <c r="BD52" i="1" s="1"/>
  <c r="AM12" i="1"/>
  <c r="BD12" i="1" s="1"/>
  <c r="AM15" i="1"/>
  <c r="BD15" i="1" s="1"/>
  <c r="BB54" i="1"/>
  <c r="BC54" i="1"/>
  <c r="AX54" i="1"/>
  <c r="BF54" i="1"/>
  <c r="AY54" i="1"/>
  <c r="BG54" i="1"/>
  <c r="BE54" i="1"/>
  <c r="AZ54" i="1"/>
  <c r="BA54" i="1"/>
  <c r="BD54" i="1"/>
  <c r="AM37" i="1"/>
  <c r="AM21" i="1"/>
  <c r="AM53" i="1"/>
  <c r="AM35" i="1"/>
  <c r="AM38" i="1"/>
  <c r="AM51" i="1"/>
  <c r="AM33" i="1"/>
  <c r="AM20" i="1"/>
  <c r="AM11" i="1"/>
  <c r="AM28" i="1"/>
  <c r="BC42" i="1"/>
  <c r="AY42" i="1"/>
  <c r="BG42" i="1"/>
  <c r="BB42" i="1"/>
  <c r="BD42" i="1"/>
  <c r="AX42" i="1"/>
  <c r="BF42" i="1"/>
  <c r="BA42" i="1"/>
  <c r="BC14" i="1"/>
  <c r="BD14" i="1"/>
  <c r="AM23" i="1"/>
  <c r="AM40" i="1"/>
  <c r="AM9" i="1"/>
  <c r="AM26" i="1"/>
  <c r="AM8" i="1"/>
  <c r="AM41" i="1"/>
  <c r="AM25" i="1"/>
  <c r="AM17" i="1"/>
  <c r="AM31" i="1"/>
  <c r="AM13" i="1"/>
  <c r="AM30" i="1"/>
  <c r="AM22" i="1"/>
  <c r="AM34" i="1"/>
  <c r="AM49" i="1"/>
  <c r="AM36" i="1"/>
  <c r="AM19" i="1"/>
  <c r="AM27" i="1"/>
  <c r="AM45" i="1"/>
  <c r="BE50" i="1"/>
  <c r="AX50" i="1"/>
  <c r="BF50" i="1"/>
  <c r="BA50" i="1"/>
  <c r="BB50" i="1"/>
  <c r="AY50" i="1"/>
  <c r="AZ50" i="1"/>
  <c r="BC50" i="1"/>
  <c r="BD50" i="1"/>
  <c r="BG50" i="1"/>
  <c r="BB46" i="1"/>
  <c r="BD46" i="1"/>
  <c r="BF46" i="1"/>
  <c r="BC46" i="1"/>
  <c r="BA18" i="1"/>
  <c r="BE18" i="1"/>
  <c r="AX18" i="1"/>
  <c r="BF18" i="1"/>
  <c r="AZ18" i="1"/>
  <c r="AY18" i="1"/>
  <c r="BG18" i="1"/>
  <c r="BD18" i="1"/>
  <c r="BB18" i="1"/>
  <c r="BC18" i="1"/>
  <c r="AX39" i="1"/>
  <c r="BF39" i="1"/>
  <c r="BB39" i="1"/>
  <c r="BC39" i="1"/>
  <c r="BG39" i="1"/>
  <c r="AZ39" i="1"/>
  <c r="BA39" i="1"/>
  <c r="AY39" i="1"/>
  <c r="BE39" i="1"/>
  <c r="BD39" i="1"/>
  <c r="BD16" i="1"/>
  <c r="BC16" i="1"/>
  <c r="BG16" i="1"/>
  <c r="AX16" i="1"/>
  <c r="AY16" i="1"/>
  <c r="BF16" i="1"/>
  <c r="AM48" i="1"/>
  <c r="AM29" i="1"/>
  <c r="AM43" i="1"/>
  <c r="AM24" i="1"/>
  <c r="AM7" i="1"/>
  <c r="AM10" i="1"/>
  <c r="AM47" i="1"/>
  <c r="AM32" i="1"/>
  <c r="AM44" i="1"/>
  <c r="BE46" i="1" l="1"/>
  <c r="BA46" i="1"/>
  <c r="AX46" i="1"/>
  <c r="BG46" i="1"/>
  <c r="BB16" i="1"/>
  <c r="BA16" i="1"/>
  <c r="BE16" i="1"/>
  <c r="BE42" i="1"/>
  <c r="BE52" i="1"/>
  <c r="AZ46" i="1"/>
  <c r="AX52" i="1"/>
  <c r="BB52" i="1"/>
  <c r="BE14" i="1"/>
  <c r="BC52" i="1"/>
  <c r="BF14" i="1"/>
  <c r="BF12" i="1"/>
  <c r="AZ52" i="1"/>
  <c r="BG14" i="1"/>
  <c r="BA12" i="1"/>
  <c r="BC15" i="1"/>
  <c r="BG52" i="1"/>
  <c r="AY14" i="1"/>
  <c r="BB12" i="1"/>
  <c r="BB15" i="1"/>
  <c r="AY52" i="1"/>
  <c r="AX12" i="1"/>
  <c r="BA52" i="1"/>
  <c r="BA15" i="1"/>
  <c r="BF52" i="1"/>
  <c r="BA14" i="1"/>
  <c r="BB14" i="1"/>
  <c r="AZ12" i="1"/>
  <c r="BE15" i="1"/>
  <c r="BG12" i="1"/>
  <c r="AY12" i="1"/>
  <c r="AX15" i="1"/>
  <c r="BF15" i="1"/>
  <c r="BE12" i="1"/>
  <c r="BC12" i="1"/>
  <c r="AZ15" i="1"/>
  <c r="AZ14" i="1"/>
  <c r="AY15" i="1"/>
  <c r="BG15" i="1"/>
  <c r="AY34" i="1"/>
  <c r="BG34" i="1"/>
  <c r="BC34" i="1"/>
  <c r="BD34" i="1"/>
  <c r="BA34" i="1"/>
  <c r="BB34" i="1"/>
  <c r="BF34" i="1"/>
  <c r="BE34" i="1"/>
  <c r="AX34" i="1"/>
  <c r="AZ34" i="1"/>
  <c r="BA37" i="1"/>
  <c r="BE37" i="1"/>
  <c r="AX37" i="1"/>
  <c r="BF37" i="1"/>
  <c r="BC37" i="1"/>
  <c r="BD37" i="1"/>
  <c r="AY37" i="1"/>
  <c r="AZ37" i="1"/>
  <c r="BG37" i="1"/>
  <c r="BB37" i="1"/>
  <c r="BA20" i="1"/>
  <c r="BE20" i="1"/>
  <c r="AX20" i="1"/>
  <c r="BF20" i="1"/>
  <c r="AZ20" i="1"/>
  <c r="AY20" i="1"/>
  <c r="BG20" i="1"/>
  <c r="BB20" i="1"/>
  <c r="BC20" i="1"/>
  <c r="BD20" i="1"/>
  <c r="BA27" i="1"/>
  <c r="BE27" i="1"/>
  <c r="AX27" i="1"/>
  <c r="BF27" i="1"/>
  <c r="AY27" i="1"/>
  <c r="BD27" i="1"/>
  <c r="BG27" i="1"/>
  <c r="BB27" i="1"/>
  <c r="AZ27" i="1"/>
  <c r="BC27" i="1"/>
  <c r="BB48" i="1"/>
  <c r="BC48" i="1"/>
  <c r="AX48" i="1"/>
  <c r="BF48" i="1"/>
  <c r="AY48" i="1"/>
  <c r="BG48" i="1"/>
  <c r="BD48" i="1"/>
  <c r="BE48" i="1"/>
  <c r="BA48" i="1"/>
  <c r="AZ48" i="1"/>
  <c r="BB36" i="1"/>
  <c r="AX36" i="1"/>
  <c r="BF36" i="1"/>
  <c r="AY36" i="1"/>
  <c r="BG36" i="1"/>
  <c r="BD36" i="1"/>
  <c r="BE36" i="1"/>
  <c r="AZ36" i="1"/>
  <c r="BC36" i="1"/>
  <c r="BA36" i="1"/>
  <c r="BA25" i="1"/>
  <c r="BE25" i="1"/>
  <c r="AX25" i="1"/>
  <c r="BF25" i="1"/>
  <c r="BC25" i="1"/>
  <c r="BD25" i="1"/>
  <c r="BG25" i="1"/>
  <c r="AY25" i="1"/>
  <c r="AZ25" i="1"/>
  <c r="BB25" i="1"/>
  <c r="AY32" i="1"/>
  <c r="BG32" i="1"/>
  <c r="BC32" i="1"/>
  <c r="BD32" i="1"/>
  <c r="AX32" i="1"/>
  <c r="BE32" i="1"/>
  <c r="BF32" i="1"/>
  <c r="AZ32" i="1"/>
  <c r="BA32" i="1"/>
  <c r="BB32" i="1"/>
  <c r="AY49" i="1"/>
  <c r="BG49" i="1"/>
  <c r="AZ49" i="1"/>
  <c r="BC49" i="1"/>
  <c r="BD49" i="1"/>
  <c r="BE49" i="1"/>
  <c r="BF49" i="1"/>
  <c r="AX49" i="1"/>
  <c r="BA49" i="1"/>
  <c r="BB49" i="1"/>
  <c r="AX41" i="1"/>
  <c r="BF41" i="1"/>
  <c r="BC41" i="1"/>
  <c r="AY41" i="1"/>
  <c r="AZ41" i="1"/>
  <c r="BD41" i="1"/>
  <c r="BG41" i="1"/>
  <c r="BE41" i="1"/>
  <c r="BB41" i="1"/>
  <c r="BA41" i="1"/>
  <c r="BD35" i="1"/>
  <c r="AZ35" i="1"/>
  <c r="BA35" i="1"/>
  <c r="AY35" i="1"/>
  <c r="BF35" i="1"/>
  <c r="BG35" i="1"/>
  <c r="BC35" i="1"/>
  <c r="BE35" i="1"/>
  <c r="AX35" i="1"/>
  <c r="BB35" i="1"/>
  <c r="AX8" i="1"/>
  <c r="BF8" i="1"/>
  <c r="BB8" i="1"/>
  <c r="BC8" i="1"/>
  <c r="BE8" i="1"/>
  <c r="AY8" i="1"/>
  <c r="BD8" i="1"/>
  <c r="BG8" i="1"/>
  <c r="AZ8" i="1"/>
  <c r="BA8" i="1"/>
  <c r="BA53" i="1"/>
  <c r="BB53" i="1"/>
  <c r="BE53" i="1"/>
  <c r="AX53" i="1"/>
  <c r="BF53" i="1"/>
  <c r="BC53" i="1"/>
  <c r="BD53" i="1"/>
  <c r="BG53" i="1"/>
  <c r="AY53" i="1"/>
  <c r="AZ53" i="1"/>
  <c r="BD10" i="1"/>
  <c r="AZ10" i="1"/>
  <c r="BA10" i="1"/>
  <c r="BC10" i="1"/>
  <c r="BB10" i="1"/>
  <c r="BE10" i="1"/>
  <c r="BF10" i="1"/>
  <c r="BG10" i="1"/>
  <c r="AX10" i="1"/>
  <c r="AY10" i="1"/>
  <c r="BC22" i="1"/>
  <c r="BB22" i="1"/>
  <c r="AX22" i="1"/>
  <c r="BG22" i="1"/>
  <c r="AY22" i="1"/>
  <c r="BD22" i="1"/>
  <c r="BE22" i="1"/>
  <c r="AZ22" i="1"/>
  <c r="BA22" i="1"/>
  <c r="BF22" i="1"/>
  <c r="BB26" i="1"/>
  <c r="AX26" i="1"/>
  <c r="BF26" i="1"/>
  <c r="AY26" i="1"/>
  <c r="BG26" i="1"/>
  <c r="BA26" i="1"/>
  <c r="BD26" i="1"/>
  <c r="BE26" i="1"/>
  <c r="BC26" i="1"/>
  <c r="AZ26" i="1"/>
  <c r="AX28" i="1"/>
  <c r="BF28" i="1"/>
  <c r="BB28" i="1"/>
  <c r="BC28" i="1"/>
  <c r="BA28" i="1"/>
  <c r="BD28" i="1"/>
  <c r="BG28" i="1"/>
  <c r="AY28" i="1"/>
  <c r="AZ28" i="1"/>
  <c r="BE28" i="1"/>
  <c r="BB21" i="1"/>
  <c r="BC21" i="1"/>
  <c r="BE21" i="1"/>
  <c r="BD21" i="1"/>
  <c r="AX21" i="1"/>
  <c r="AY21" i="1"/>
  <c r="BA21" i="1"/>
  <c r="BF21" i="1"/>
  <c r="AZ21" i="1"/>
  <c r="BG21" i="1"/>
  <c r="BC47" i="1"/>
  <c r="AZ47" i="1"/>
  <c r="BA47" i="1"/>
  <c r="BE47" i="1"/>
  <c r="BF47" i="1"/>
  <c r="AX47" i="1"/>
  <c r="BB47" i="1"/>
  <c r="BD47" i="1"/>
  <c r="BG47" i="1"/>
  <c r="AY47" i="1"/>
  <c r="BC30" i="1"/>
  <c r="AY30" i="1"/>
  <c r="BD30" i="1"/>
  <c r="AX30" i="1"/>
  <c r="AZ30" i="1"/>
  <c r="BE30" i="1"/>
  <c r="BF30" i="1"/>
  <c r="BB30" i="1"/>
  <c r="BG30" i="1"/>
  <c r="BA30" i="1"/>
  <c r="BB11" i="1"/>
  <c r="AX11" i="1"/>
  <c r="BF11" i="1"/>
  <c r="AY11" i="1"/>
  <c r="BG11" i="1"/>
  <c r="BA11" i="1"/>
  <c r="BD11" i="1"/>
  <c r="BE11" i="1"/>
  <c r="BC11" i="1"/>
  <c r="AZ11" i="1"/>
  <c r="BC24" i="1"/>
  <c r="AY24" i="1"/>
  <c r="BG24" i="1"/>
  <c r="AZ24" i="1"/>
  <c r="BA24" i="1"/>
  <c r="BF24" i="1"/>
  <c r="AX24" i="1"/>
  <c r="BB24" i="1"/>
  <c r="BD24" i="1"/>
  <c r="BE24" i="1"/>
  <c r="BB13" i="1"/>
  <c r="AX13" i="1"/>
  <c r="BF13" i="1"/>
  <c r="AY13" i="1"/>
  <c r="BG13" i="1"/>
  <c r="BA13" i="1"/>
  <c r="BD13" i="1"/>
  <c r="BE13" i="1"/>
  <c r="AZ13" i="1"/>
  <c r="BC13" i="1"/>
  <c r="AY40" i="1"/>
  <c r="BG40" i="1"/>
  <c r="BC40" i="1"/>
  <c r="BD40" i="1"/>
  <c r="AX40" i="1"/>
  <c r="BE40" i="1"/>
  <c r="BF40" i="1"/>
  <c r="BA40" i="1"/>
  <c r="BB40" i="1"/>
  <c r="AZ40" i="1"/>
  <c r="BB31" i="1"/>
  <c r="AZ31" i="1"/>
  <c r="BE31" i="1"/>
  <c r="BF31" i="1"/>
  <c r="BC31" i="1"/>
  <c r="AX31" i="1"/>
  <c r="BG31" i="1"/>
  <c r="BA31" i="1"/>
  <c r="AY31" i="1"/>
  <c r="BD31" i="1"/>
  <c r="BB23" i="1"/>
  <c r="AY23" i="1"/>
  <c r="BD23" i="1"/>
  <c r="BE23" i="1"/>
  <c r="BC23" i="1"/>
  <c r="BF23" i="1"/>
  <c r="AX23" i="1"/>
  <c r="BA23" i="1"/>
  <c r="BG23" i="1"/>
  <c r="AZ23" i="1"/>
  <c r="AZ33" i="1"/>
  <c r="BD33" i="1"/>
  <c r="BE33" i="1"/>
  <c r="BC33" i="1"/>
  <c r="AX33" i="1"/>
  <c r="AY33" i="1"/>
  <c r="BA33" i="1"/>
  <c r="BF33" i="1"/>
  <c r="BG33" i="1"/>
  <c r="BB33" i="1"/>
  <c r="BD29" i="1"/>
  <c r="AZ29" i="1"/>
  <c r="BA29" i="1"/>
  <c r="BG29" i="1"/>
  <c r="BB29" i="1"/>
  <c r="BC29" i="1"/>
  <c r="AY29" i="1"/>
  <c r="BE29" i="1"/>
  <c r="BF29" i="1"/>
  <c r="AX29" i="1"/>
  <c r="BB19" i="1"/>
  <c r="AX19" i="1"/>
  <c r="BF19" i="1"/>
  <c r="AY19" i="1"/>
  <c r="BG19" i="1"/>
  <c r="BA19" i="1"/>
  <c r="BD19" i="1"/>
  <c r="BE19" i="1"/>
  <c r="AZ19" i="1"/>
  <c r="BC19" i="1"/>
  <c r="BC17" i="1"/>
  <c r="AY17" i="1"/>
  <c r="BG17" i="1"/>
  <c r="AZ17" i="1"/>
  <c r="BB17" i="1"/>
  <c r="BE17" i="1"/>
  <c r="BF17" i="1"/>
  <c r="BA17" i="1"/>
  <c r="AX17" i="1"/>
  <c r="BD17" i="1"/>
  <c r="BD51" i="1"/>
  <c r="BE51" i="1"/>
  <c r="AZ51" i="1"/>
  <c r="BA51" i="1"/>
  <c r="BC51" i="1"/>
  <c r="BF51" i="1"/>
  <c r="BG51" i="1"/>
  <c r="AX51" i="1"/>
  <c r="AY51" i="1"/>
  <c r="BB51" i="1"/>
  <c r="AZ7" i="1"/>
  <c r="BD7" i="1"/>
  <c r="BE7" i="1"/>
  <c r="AY7" i="1"/>
  <c r="BG7" i="1"/>
  <c r="BB7" i="1"/>
  <c r="BC7" i="1"/>
  <c r="AX7" i="1"/>
  <c r="BF7" i="1"/>
  <c r="BA7" i="1"/>
  <c r="BE9" i="1"/>
  <c r="BA9" i="1"/>
  <c r="BB9" i="1"/>
  <c r="BD9" i="1"/>
  <c r="BG9" i="1"/>
  <c r="AY9" i="1"/>
  <c r="AZ9" i="1"/>
  <c r="BC9" i="1"/>
  <c r="BF9" i="1"/>
  <c r="AX9" i="1"/>
  <c r="AY45" i="1"/>
  <c r="BG45" i="1"/>
  <c r="BC45" i="1"/>
  <c r="BD45" i="1"/>
  <c r="AX45" i="1"/>
  <c r="AZ45" i="1"/>
  <c r="BE45" i="1"/>
  <c r="BF45" i="1"/>
  <c r="BA45" i="1"/>
  <c r="BB45" i="1"/>
  <c r="BA43" i="1"/>
  <c r="BE43" i="1"/>
  <c r="AX43" i="1"/>
  <c r="BF43" i="1"/>
  <c r="AZ43" i="1"/>
  <c r="BB43" i="1"/>
  <c r="BC43" i="1"/>
  <c r="BG43" i="1"/>
  <c r="AY43" i="1"/>
  <c r="BD43" i="1"/>
  <c r="AZ44" i="1"/>
  <c r="BD44" i="1"/>
  <c r="BE44" i="1"/>
  <c r="AY44" i="1"/>
  <c r="BA44" i="1"/>
  <c r="BB44" i="1"/>
  <c r="BF44" i="1"/>
  <c r="BG44" i="1"/>
  <c r="BC44" i="1"/>
  <c r="AX44" i="1"/>
  <c r="AZ38" i="1"/>
  <c r="BD38" i="1"/>
  <c r="BE38" i="1"/>
  <c r="BB38" i="1"/>
  <c r="BC38" i="1"/>
  <c r="AX38" i="1"/>
  <c r="BA38" i="1"/>
  <c r="AY38" i="1"/>
  <c r="BG38" i="1"/>
  <c r="BF38" i="1"/>
  <c r="AH56" i="1" l="1"/>
  <c r="AH51" i="1"/>
  <c r="AH43" i="1"/>
  <c r="AH57" i="1"/>
  <c r="AH37" i="1"/>
  <c r="AH17" i="1"/>
  <c r="AH31" i="1"/>
  <c r="AH58" i="1"/>
  <c r="AH49" i="1"/>
  <c r="AH7" i="1"/>
  <c r="AH36" i="1"/>
  <c r="AH52" i="1"/>
  <c r="AH59" i="1"/>
  <c r="AH50" i="1"/>
  <c r="AH21" i="1"/>
  <c r="AH29" i="1"/>
  <c r="AH10" i="1"/>
  <c r="AH24" i="1"/>
  <c r="AH16" i="1"/>
  <c r="AH28" i="1"/>
  <c r="AH23" i="1"/>
  <c r="AH14" i="1"/>
  <c r="AH42" i="1"/>
  <c r="AH45" i="1"/>
  <c r="AH9" i="1"/>
  <c r="AH35" i="1"/>
  <c r="AH30" i="1"/>
  <c r="AH44" i="1"/>
  <c r="AH38" i="1"/>
  <c r="AH15" i="1"/>
  <c r="AH8" i="1"/>
  <c r="AH22" i="1"/>
  <c r="AI37" i="1"/>
  <c r="AI43" i="1"/>
  <c r="AI51" i="1"/>
  <c r="AI59" i="1"/>
  <c r="AI57" i="1"/>
  <c r="AI56" i="1"/>
  <c r="AI58" i="1"/>
  <c r="AI31" i="1"/>
  <c r="AI49" i="1"/>
  <c r="AI17" i="1"/>
  <c r="AI36" i="1"/>
  <c r="AI50" i="1"/>
  <c r="AI52" i="1"/>
  <c r="AI7" i="1"/>
  <c r="AI23" i="1"/>
  <c r="AI29" i="1"/>
  <c r="AI28" i="1"/>
  <c r="AI9" i="1"/>
  <c r="AI16" i="1"/>
  <c r="AI10" i="1"/>
  <c r="AI14" i="1"/>
  <c r="AI38" i="1"/>
  <c r="AI22" i="1"/>
  <c r="AI15" i="1"/>
  <c r="AI8" i="1"/>
  <c r="AI42" i="1"/>
  <c r="AI30" i="1"/>
  <c r="AI21" i="1"/>
  <c r="AI44" i="1"/>
  <c r="AI45" i="1"/>
  <c r="AI24" i="1"/>
  <c r="AI35" i="1"/>
  <c r="AG56" i="1"/>
  <c r="AG49" i="1"/>
  <c r="AJ49" i="1" s="1"/>
  <c r="AK49" i="1" s="1"/>
  <c r="AB49" i="1" s="1"/>
  <c r="AG51" i="1"/>
  <c r="AG52" i="1"/>
  <c r="AG50" i="1"/>
  <c r="AG57" i="1"/>
  <c r="AG17" i="1"/>
  <c r="AJ17" i="1" s="1"/>
  <c r="AK17" i="1" s="1"/>
  <c r="AB17" i="1" s="1"/>
  <c r="AG43" i="1"/>
  <c r="AJ43" i="1" s="1"/>
  <c r="AK43" i="1" s="1"/>
  <c r="AB43" i="1" s="1"/>
  <c r="AG37" i="1"/>
  <c r="AG31" i="1"/>
  <c r="AG7" i="1"/>
  <c r="AG58" i="1"/>
  <c r="AG59" i="1"/>
  <c r="AG36" i="1"/>
  <c r="AG9" i="1"/>
  <c r="AJ9" i="1" s="1"/>
  <c r="AK9" i="1" s="1"/>
  <c r="AB9" i="1" s="1"/>
  <c r="AG42" i="1"/>
  <c r="AG10" i="1"/>
  <c r="AG24" i="1"/>
  <c r="AG35" i="1"/>
  <c r="AG30" i="1"/>
  <c r="AG22" i="1"/>
  <c r="AG15" i="1"/>
  <c r="AG29" i="1"/>
  <c r="AG28" i="1"/>
  <c r="AJ28" i="1" s="1"/>
  <c r="AK28" i="1" s="1"/>
  <c r="AB28" i="1" s="1"/>
  <c r="AG44" i="1"/>
  <c r="AG45" i="1"/>
  <c r="AG38" i="1"/>
  <c r="AG8" i="1"/>
  <c r="AG23" i="1"/>
  <c r="AG16" i="1"/>
  <c r="AG14" i="1"/>
  <c r="AJ14" i="1" s="1"/>
  <c r="AK14" i="1" s="1"/>
  <c r="AB14" i="1" s="1"/>
  <c r="AG21" i="1"/>
  <c r="AJ59" i="1" l="1"/>
  <c r="AK59" i="1" s="1"/>
  <c r="AB59" i="1" s="1"/>
  <c r="AJ21" i="1"/>
  <c r="AK21" i="1" s="1"/>
  <c r="AB21" i="1" s="1"/>
  <c r="AJ42" i="1"/>
  <c r="AK42" i="1" s="1"/>
  <c r="AB42" i="1" s="1"/>
  <c r="AJ51" i="1"/>
  <c r="AK51" i="1" s="1"/>
  <c r="AB51" i="1" s="1"/>
  <c r="AJ10" i="1"/>
  <c r="AK10" i="1" s="1"/>
  <c r="AB10" i="1" s="1"/>
  <c r="AJ38" i="1"/>
  <c r="AK38" i="1" s="1"/>
  <c r="AB38" i="1" s="1"/>
  <c r="AJ7" i="1"/>
  <c r="AK7" i="1" s="1"/>
  <c r="AB7" i="1" s="1"/>
  <c r="AJ23" i="1"/>
  <c r="AK23" i="1" s="1"/>
  <c r="AB23" i="1" s="1"/>
  <c r="AJ50" i="1"/>
  <c r="AK50" i="1" s="1"/>
  <c r="AB50" i="1" s="1"/>
  <c r="AJ56" i="1"/>
  <c r="AK56" i="1" s="1"/>
  <c r="AB56" i="1" s="1"/>
  <c r="AJ16" i="1"/>
  <c r="AK16" i="1" s="1"/>
  <c r="AB16" i="1" s="1"/>
  <c r="AJ15" i="1"/>
  <c r="AK15" i="1" s="1"/>
  <c r="AB15" i="1" s="1"/>
  <c r="AJ36" i="1"/>
  <c r="AK36" i="1" s="1"/>
  <c r="AB36" i="1" s="1"/>
  <c r="AJ57" i="1"/>
  <c r="AK57" i="1" s="1"/>
  <c r="AB57" i="1" s="1"/>
  <c r="AJ29" i="1"/>
  <c r="AK29" i="1" s="1"/>
  <c r="AB29" i="1" s="1"/>
  <c r="AJ8" i="1"/>
  <c r="AK8" i="1" s="1"/>
  <c r="AB8" i="1" s="1"/>
  <c r="AJ30" i="1"/>
  <c r="AK30" i="1" s="1"/>
  <c r="AB30" i="1" s="1"/>
  <c r="AJ58" i="1"/>
  <c r="AK58" i="1" s="1"/>
  <c r="AB58" i="1" s="1"/>
  <c r="AJ52" i="1"/>
  <c r="AK52" i="1" s="1"/>
  <c r="AB52" i="1" s="1"/>
  <c r="AJ22" i="1"/>
  <c r="AK22" i="1" s="1"/>
  <c r="AB22" i="1" s="1"/>
  <c r="AJ35" i="1"/>
  <c r="AK35" i="1" s="1"/>
  <c r="AB35" i="1" s="1"/>
  <c r="AJ45" i="1"/>
  <c r="AK45" i="1" s="1"/>
  <c r="AB45" i="1" s="1"/>
  <c r="AJ24" i="1"/>
  <c r="AK24" i="1" s="1"/>
  <c r="AB24" i="1" s="1"/>
  <c r="AJ31" i="1"/>
  <c r="AK31" i="1" s="1"/>
  <c r="AB31" i="1" s="1"/>
  <c r="AJ44" i="1"/>
  <c r="AK44" i="1" s="1"/>
  <c r="AB44" i="1" s="1"/>
  <c r="AJ37" i="1"/>
  <c r="AK37" i="1" s="1"/>
  <c r="AB37" i="1" s="1"/>
  <c r="T49" i="1" l="1"/>
  <c r="T7" i="1"/>
  <c r="N8" i="1" s="1"/>
  <c r="T10" i="1"/>
  <c r="T21" i="1"/>
  <c r="K21" i="1" s="1"/>
  <c r="T51" i="1"/>
  <c r="T50" i="1"/>
  <c r="L49" i="1" s="1"/>
  <c r="T57" i="1"/>
  <c r="T9" i="1"/>
  <c r="M7" i="1" s="1"/>
  <c r="T52" i="1"/>
  <c r="T45" i="1"/>
  <c r="T8" i="1"/>
  <c r="K10" i="1" s="1"/>
  <c r="T16" i="1"/>
  <c r="T24" i="1"/>
  <c r="T30" i="1"/>
  <c r="T35" i="1"/>
  <c r="M35" i="1" s="1"/>
  <c r="T17" i="1"/>
  <c r="T23" i="1"/>
  <c r="T56" i="1"/>
  <c r="T14" i="1"/>
  <c r="T22" i="1"/>
  <c r="K23" i="1" s="1"/>
  <c r="T29" i="1"/>
  <c r="T42" i="1"/>
  <c r="M50" i="1"/>
  <c r="K51" i="1"/>
  <c r="N50" i="1"/>
  <c r="J50" i="1"/>
  <c r="L50" i="1"/>
  <c r="O50" i="1"/>
  <c r="T44" i="1"/>
  <c r="T31" i="1"/>
  <c r="T36" i="1"/>
  <c r="T38" i="1"/>
  <c r="T37" i="1"/>
  <c r="O21" i="1"/>
  <c r="L21" i="1"/>
  <c r="N21" i="1"/>
  <c r="M21" i="1"/>
  <c r="J23" i="1"/>
  <c r="N23" i="1"/>
  <c r="O23" i="1"/>
  <c r="J21" i="1"/>
  <c r="S21" i="1" s="1"/>
  <c r="T28" i="1"/>
  <c r="N10" i="1"/>
  <c r="L8" i="1"/>
  <c r="T58" i="1"/>
  <c r="T15" i="1"/>
  <c r="T59" i="1"/>
  <c r="T43" i="1"/>
  <c r="J8" i="1" l="1"/>
  <c r="K49" i="1"/>
  <c r="M8" i="1"/>
  <c r="K8" i="1"/>
  <c r="L10" i="1"/>
  <c r="O24" i="1"/>
  <c r="N49" i="1"/>
  <c r="O8" i="1"/>
  <c r="J49" i="1"/>
  <c r="S50" i="1" s="1"/>
  <c r="O51" i="1"/>
  <c r="M49" i="1"/>
  <c r="K35" i="1"/>
  <c r="M10" i="1"/>
  <c r="K50" i="1"/>
  <c r="L9" i="1"/>
  <c r="J35" i="1"/>
  <c r="S35" i="1" s="1"/>
  <c r="J7" i="1"/>
  <c r="S7" i="1" s="1"/>
  <c r="N51" i="1"/>
  <c r="L51" i="1"/>
  <c r="J9" i="1"/>
  <c r="N36" i="1"/>
  <c r="O49" i="1"/>
  <c r="M51" i="1"/>
  <c r="J52" i="1"/>
  <c r="O52" i="1"/>
  <c r="O9" i="1"/>
  <c r="K9" i="1"/>
  <c r="N52" i="1"/>
  <c r="N35" i="1"/>
  <c r="L35" i="1"/>
  <c r="N9" i="1"/>
  <c r="L23" i="1"/>
  <c r="L52" i="1"/>
  <c r="J51" i="1"/>
  <c r="S51" i="1" s="1"/>
  <c r="N7" i="1"/>
  <c r="M52" i="1"/>
  <c r="K52" i="1"/>
  <c r="M9" i="1"/>
  <c r="O35" i="1"/>
  <c r="L7" i="1"/>
  <c r="O7" i="1"/>
  <c r="O10" i="1"/>
  <c r="M23" i="1"/>
  <c r="N38" i="1"/>
  <c r="O38" i="1"/>
  <c r="L22" i="1"/>
  <c r="K7" i="1"/>
  <c r="J10" i="1"/>
  <c r="M36" i="1"/>
  <c r="O36" i="1"/>
  <c r="S49" i="1"/>
  <c r="J36" i="1"/>
  <c r="K36" i="1"/>
  <c r="L36" i="1"/>
  <c r="L38" i="1"/>
  <c r="J38" i="1"/>
  <c r="S10" i="1"/>
  <c r="M38" i="1"/>
  <c r="K38" i="1"/>
  <c r="N37" i="1"/>
  <c r="J37" i="1"/>
  <c r="M37" i="1"/>
  <c r="M24" i="1"/>
  <c r="L42" i="1"/>
  <c r="J42" i="1"/>
  <c r="S42" i="1" s="1"/>
  <c r="O44" i="1"/>
  <c r="N45" i="1"/>
  <c r="O42" i="1"/>
  <c r="M43" i="1"/>
  <c r="K44" i="1"/>
  <c r="J45" i="1"/>
  <c r="N43" i="1"/>
  <c r="L44" i="1"/>
  <c r="K45" i="1"/>
  <c r="N42" i="1"/>
  <c r="L43" i="1"/>
  <c r="O43" i="1"/>
  <c r="J44" i="1"/>
  <c r="M44" i="1"/>
  <c r="M45" i="1"/>
  <c r="L45" i="1"/>
  <c r="M42" i="1"/>
  <c r="J43" i="1"/>
  <c r="K43" i="1"/>
  <c r="O45" i="1"/>
  <c r="K42" i="1"/>
  <c r="N44" i="1"/>
  <c r="M22" i="1"/>
  <c r="N22" i="1"/>
  <c r="K37" i="1"/>
  <c r="O22" i="1"/>
  <c r="L24" i="1"/>
  <c r="K56" i="1"/>
  <c r="L58" i="1"/>
  <c r="M59" i="1"/>
  <c r="L56" i="1"/>
  <c r="J57" i="1"/>
  <c r="M58" i="1"/>
  <c r="N59" i="1"/>
  <c r="O56" i="1"/>
  <c r="M57" i="1"/>
  <c r="N57" i="1"/>
  <c r="J59" i="1"/>
  <c r="L57" i="1"/>
  <c r="O58" i="1"/>
  <c r="O57" i="1"/>
  <c r="O59" i="1"/>
  <c r="N56" i="1"/>
  <c r="J58" i="1"/>
  <c r="K58" i="1"/>
  <c r="K57" i="1"/>
  <c r="N58" i="1"/>
  <c r="K59" i="1"/>
  <c r="L59" i="1"/>
  <c r="J56" i="1"/>
  <c r="M56" i="1"/>
  <c r="L37" i="1"/>
  <c r="N24" i="1"/>
  <c r="J22" i="1"/>
  <c r="S24" i="1" s="1"/>
  <c r="K22" i="1"/>
  <c r="O37" i="1"/>
  <c r="O28" i="1"/>
  <c r="L29" i="1"/>
  <c r="J30" i="1"/>
  <c r="K28" i="1"/>
  <c r="N30" i="1"/>
  <c r="L28" i="1"/>
  <c r="O30" i="1"/>
  <c r="K31" i="1"/>
  <c r="N28" i="1"/>
  <c r="M29" i="1"/>
  <c r="K30" i="1"/>
  <c r="O31" i="1"/>
  <c r="N29" i="1"/>
  <c r="L30" i="1"/>
  <c r="O29" i="1"/>
  <c r="N31" i="1"/>
  <c r="J28" i="1"/>
  <c r="S31" i="1" s="1"/>
  <c r="K29" i="1"/>
  <c r="L31" i="1"/>
  <c r="M28" i="1"/>
  <c r="M31" i="1"/>
  <c r="M30" i="1"/>
  <c r="J31" i="1"/>
  <c r="J29" i="1"/>
  <c r="J24" i="1"/>
  <c r="K24" i="1"/>
  <c r="M15" i="1"/>
  <c r="K16" i="1"/>
  <c r="J17" i="1"/>
  <c r="L14" i="1"/>
  <c r="O16" i="1"/>
  <c r="N17" i="1"/>
  <c r="M14" i="1"/>
  <c r="J15" i="1"/>
  <c r="O17" i="1"/>
  <c r="O14" i="1"/>
  <c r="L15" i="1"/>
  <c r="J16" i="1"/>
  <c r="K15" i="1"/>
  <c r="J14" i="1"/>
  <c r="S14" i="1" s="1"/>
  <c r="M16" i="1"/>
  <c r="K14" i="1"/>
  <c r="N16" i="1"/>
  <c r="K17" i="1"/>
  <c r="L16" i="1"/>
  <c r="N14" i="1"/>
  <c r="O15" i="1"/>
  <c r="M17" i="1"/>
  <c r="N15" i="1"/>
  <c r="L17" i="1"/>
  <c r="S52" i="1" l="1"/>
  <c r="R49" i="1" s="1"/>
  <c r="S8" i="1"/>
  <c r="S44" i="1"/>
  <c r="S36" i="1"/>
  <c r="S9" i="1"/>
  <c r="S57" i="1"/>
  <c r="S43" i="1"/>
  <c r="S37" i="1"/>
  <c r="S38" i="1"/>
  <c r="S23" i="1"/>
  <c r="S29" i="1"/>
  <c r="S22" i="1"/>
  <c r="S16" i="1"/>
  <c r="S28" i="1"/>
  <c r="S30" i="1"/>
  <c r="S15" i="1"/>
  <c r="S58" i="1"/>
  <c r="S17" i="1"/>
  <c r="S45" i="1"/>
  <c r="S59" i="1"/>
  <c r="S56" i="1"/>
  <c r="R50" i="1"/>
  <c r="R9" i="1" l="1"/>
  <c r="R8" i="1"/>
  <c r="R10" i="1"/>
  <c r="R52" i="1"/>
  <c r="R24" i="1"/>
  <c r="R7" i="1"/>
  <c r="AD8" i="1" s="1"/>
  <c r="F60" i="1" s="1"/>
  <c r="AD7" i="1"/>
  <c r="C58" i="1" s="1"/>
  <c r="AO58" i="1" s="1"/>
  <c r="AN58" i="1" s="1"/>
  <c r="C69" i="1" s="1"/>
  <c r="AP69" i="1" s="1"/>
  <c r="AO69" i="1" s="1"/>
  <c r="AN69" i="1" s="1"/>
  <c r="C76" i="1" s="1"/>
  <c r="AS76" i="1" s="1"/>
  <c r="AQ76" i="1" s="1"/>
  <c r="AP76" i="1" s="1"/>
  <c r="C81" i="1" s="1"/>
  <c r="AO81" i="1" s="1"/>
  <c r="AN81" i="1" s="1"/>
  <c r="R22" i="1"/>
  <c r="R15" i="1"/>
  <c r="R51" i="1"/>
  <c r="R45" i="1"/>
  <c r="R23" i="1"/>
  <c r="R37" i="1"/>
  <c r="R21" i="1"/>
  <c r="AD21" i="1" s="1"/>
  <c r="C59" i="1" s="1"/>
  <c r="AO59" i="1" s="1"/>
  <c r="AN59" i="1" s="1"/>
  <c r="F69" i="1" s="1"/>
  <c r="R38" i="1"/>
  <c r="R35" i="1"/>
  <c r="R36" i="1"/>
  <c r="R56" i="1"/>
  <c r="AD56" i="1" s="1"/>
  <c r="C65" i="1" s="1"/>
  <c r="R30" i="1"/>
  <c r="AD49" i="1"/>
  <c r="C63" i="1" s="1"/>
  <c r="AD50" i="1"/>
  <c r="F65" i="1" s="1"/>
  <c r="AO65" i="1" s="1"/>
  <c r="AN65" i="1" s="1"/>
  <c r="F72" i="1" s="1"/>
  <c r="AO72" i="1" s="1"/>
  <c r="AN72" i="1" s="1"/>
  <c r="F77" i="1" s="1"/>
  <c r="AO77" i="1" s="1"/>
  <c r="AN77" i="1" s="1"/>
  <c r="F85" i="1" s="1"/>
  <c r="R14" i="1"/>
  <c r="R28" i="1"/>
  <c r="R31" i="1"/>
  <c r="R59" i="1"/>
  <c r="R16" i="1"/>
  <c r="R17" i="1"/>
  <c r="R43" i="1"/>
  <c r="R42" i="1"/>
  <c r="R44" i="1"/>
  <c r="R29" i="1"/>
  <c r="R58" i="1"/>
  <c r="R57" i="1"/>
  <c r="AD36" i="1" l="1"/>
  <c r="F64" i="1" s="1"/>
  <c r="AD35" i="1"/>
  <c r="C62" i="1" s="1"/>
  <c r="AO62" i="1" s="1"/>
  <c r="AN62" i="1" s="1"/>
  <c r="C70" i="1" s="1"/>
  <c r="AO70" i="1" s="1"/>
  <c r="AN70" i="1" s="1"/>
  <c r="F76" i="1" s="1"/>
  <c r="AR76" i="1" s="1"/>
  <c r="AO76" i="1" s="1"/>
  <c r="AN76" i="1" s="1"/>
  <c r="C85" i="1" s="1"/>
  <c r="AP85" i="1" s="1"/>
  <c r="AO85" i="1" s="1"/>
  <c r="AN85" i="1" s="1"/>
  <c r="D87" i="1" s="1"/>
  <c r="AD22" i="1"/>
  <c r="F61" i="1" s="1"/>
  <c r="AD57" i="1"/>
  <c r="F63" i="1" s="1"/>
  <c r="AP63" i="1" s="1"/>
  <c r="AO63" i="1" s="1"/>
  <c r="AN63" i="1" s="1"/>
  <c r="F70" i="1" s="1"/>
  <c r="AD29" i="1"/>
  <c r="F59" i="1" s="1"/>
  <c r="AD28" i="1"/>
  <c r="C61" i="1" s="1"/>
  <c r="AO61" i="1" s="1"/>
  <c r="AN61" i="1" s="1"/>
  <c r="F71" i="1" s="1"/>
  <c r="AP71" i="1" s="1"/>
  <c r="AO71" i="1" s="1"/>
  <c r="AN71" i="1" s="1"/>
  <c r="C77" i="1" s="1"/>
  <c r="AQ77" i="1" s="1"/>
  <c r="AP77" i="1" s="1"/>
  <c r="F81" i="1" s="1"/>
  <c r="AD14" i="1"/>
  <c r="C60" i="1" s="1"/>
  <c r="AO60" i="1" s="1"/>
  <c r="AN60" i="1" s="1"/>
  <c r="C71" i="1" s="1"/>
  <c r="AD15" i="1"/>
  <c r="F58" i="1" s="1"/>
  <c r="AD42" i="1"/>
  <c r="C64" i="1" s="1"/>
  <c r="AO64" i="1" s="1"/>
  <c r="AN64" i="1" s="1"/>
  <c r="C72" i="1" s="1"/>
  <c r="AD43" i="1"/>
  <c r="F62" i="1" s="1"/>
</calcChain>
</file>

<file path=xl/sharedStrings.xml><?xml version="1.0" encoding="utf-8"?>
<sst xmlns="http://schemas.openxmlformats.org/spreadsheetml/2006/main" count="3752" uniqueCount="3083">
  <si>
    <t>Note: Central European Summer Time (CEST) = GMT + 2:00</t>
  </si>
  <si>
    <t>Rank</t>
  </si>
  <si>
    <t>Rank Final</t>
  </si>
  <si>
    <t>Rank MIN</t>
  </si>
  <si>
    <t>Place</t>
  </si>
  <si>
    <t>Win</t>
  </si>
  <si>
    <t>Draw</t>
  </si>
  <si>
    <t>Lose</t>
  </si>
  <si>
    <t>F</t>
  </si>
  <si>
    <t>A</t>
  </si>
  <si>
    <t>Pnt</t>
  </si>
  <si>
    <t>R</t>
  </si>
  <si>
    <t>GMT + 2:00</t>
  </si>
  <si>
    <t>English</t>
  </si>
  <si>
    <t>+0 Min</t>
  </si>
  <si>
    <t>GMT - 11:00</t>
  </si>
  <si>
    <t>GMT - 10:00</t>
  </si>
  <si>
    <t>German</t>
  </si>
  <si>
    <t>+15 Min</t>
  </si>
  <si>
    <t>GMT - 9:00</t>
  </si>
  <si>
    <t>French</t>
  </si>
  <si>
    <t>+30 Min</t>
  </si>
  <si>
    <t>GMT - 8:00</t>
  </si>
  <si>
    <t>Spanish</t>
  </si>
  <si>
    <t>+45 Min</t>
  </si>
  <si>
    <t>GMT - 7:00</t>
  </si>
  <si>
    <t>Italian</t>
  </si>
  <si>
    <t>GMT - 6:00</t>
  </si>
  <si>
    <t>Portuguese</t>
  </si>
  <si>
    <t>GMT - 5:00</t>
  </si>
  <si>
    <t>Dutch</t>
  </si>
  <si>
    <t>GMT - 4:00</t>
  </si>
  <si>
    <t>Norwegian</t>
  </si>
  <si>
    <t>GMT - 3:00</t>
  </si>
  <si>
    <t>Swiss</t>
  </si>
  <si>
    <t>GMT - 2:00</t>
  </si>
  <si>
    <t>Swedish</t>
  </si>
  <si>
    <t>GMT - 1:00</t>
  </si>
  <si>
    <t>Luxembourgish</t>
  </si>
  <si>
    <t>GMT</t>
  </si>
  <si>
    <t>Danish</t>
  </si>
  <si>
    <t>GMT + 1:00</t>
  </si>
  <si>
    <t>Greek</t>
  </si>
  <si>
    <t>Polish</t>
  </si>
  <si>
    <t>GMT + 3:00</t>
  </si>
  <si>
    <t>Bulgarian</t>
  </si>
  <si>
    <t>GMT + 4:00</t>
  </si>
  <si>
    <t>Hungarian</t>
  </si>
  <si>
    <t>GMT + 5:00</t>
  </si>
  <si>
    <t>Croatian</t>
  </si>
  <si>
    <t>GMT + 6:00</t>
  </si>
  <si>
    <t>Serbian</t>
  </si>
  <si>
    <t>GMT + 7:00</t>
  </si>
  <si>
    <t>Czech</t>
  </si>
  <si>
    <t>GMT + 8:00</t>
  </si>
  <si>
    <t>Slovak</t>
  </si>
  <si>
    <t>GMT + 9:00</t>
  </si>
  <si>
    <t>Slovenian</t>
  </si>
  <si>
    <t>GMT + 10:00</t>
  </si>
  <si>
    <t>Romanian</t>
  </si>
  <si>
    <t>GMT + 11:00</t>
  </si>
  <si>
    <t>Albanian</t>
  </si>
  <si>
    <t>GMT + 12:00</t>
  </si>
  <si>
    <t>Bosnian</t>
  </si>
  <si>
    <t>Russian</t>
  </si>
  <si>
    <t>Ukrainian</t>
  </si>
  <si>
    <t>Turkish</t>
  </si>
  <si>
    <t>Azerbaijani</t>
  </si>
  <si>
    <t>Vietnamese</t>
  </si>
  <si>
    <t>Indonesian</t>
  </si>
  <si>
    <t>Kiswahili</t>
  </si>
  <si>
    <t>Mongolian</t>
  </si>
  <si>
    <t>Thai</t>
  </si>
  <si>
    <t>Divehi</t>
  </si>
  <si>
    <t>Tamil</t>
  </si>
  <si>
    <t>Hebrew</t>
  </si>
  <si>
    <t>Arabic</t>
  </si>
  <si>
    <t xml:space="preserve">Farsi </t>
  </si>
  <si>
    <t>Kurdish</t>
  </si>
  <si>
    <t>Urdu</t>
  </si>
  <si>
    <t>Trad. Chinese</t>
  </si>
  <si>
    <t>Simp. Chinese</t>
  </si>
  <si>
    <t>Japanese</t>
  </si>
  <si>
    <t>Korean</t>
  </si>
  <si>
    <t>EURO-2008</t>
  </si>
  <si>
    <t>Formula 1. Season 2007</t>
  </si>
  <si>
    <t>Rugby World Cup 2007</t>
  </si>
  <si>
    <t>Find Your Software!</t>
  </si>
  <si>
    <t>Hungarian / Magyar</t>
  </si>
  <si>
    <t>Slov</t>
  </si>
  <si>
    <t>World Cup 2006 Final tournament schedule</t>
  </si>
  <si>
    <t>Spielplan Weltmeisterschafts endrunde 2006</t>
  </si>
  <si>
    <t>Coupe du Monde de la FIFA 2006 - Calendrier des matchs</t>
  </si>
  <si>
    <t>Copa mundial de F�tbol - Alemania 2006</t>
  </si>
  <si>
    <t>Tabellone Coppa del Mondo 2006</t>
  </si>
  <si>
    <t>Tabela Final da Copa do Mundo 2006</t>
  </si>
  <si>
    <t>Wedstrijdschema wereldbeker voetbal 2006</t>
  </si>
  <si>
    <t xml:space="preserve">Fotball VM 2006 - kampoppsett </t>
  </si>
  <si>
    <t>W�utm�ischterschaftskal�nder 2006</t>
  </si>
  <si>
    <t>Kalender f�r fotbolls-VM 2006 i Tyskland</t>
  </si>
  <si>
    <t>Weltmeeschterschaft 2006: Kalaenner vum Schluss Tournoi</t>
  </si>
  <si>
    <t>WM Finaler 2006</t>
  </si>
  <si>
    <t>Πρόγραμμα Παγκοσμίου Κυπέλλου 2006</t>
  </si>
  <si>
    <t>Mistrzostwa Swiata 2006 Terminarz Meczy</t>
  </si>
  <si>
    <t>Програма на Световното първенство в Германия 2006</t>
  </si>
  <si>
    <t>XVIII. labdarúgó-világbajnokság döntő sorozata - Németország 2006</t>
  </si>
  <si>
    <t>Svjetsko prvenstvo 2006 Raspored utakmica</t>
  </si>
  <si>
    <t>Светско првенство 2006 Распоред утакмица</t>
  </si>
  <si>
    <t>Mistrovství světa 2006 - závěrečný turnaj</t>
  </si>
  <si>
    <t>Majstrovstvá sveta 2006 - Záverečný turnaj</t>
  </si>
  <si>
    <t>Avetovno prvenstvo 2006 Razpored tekem</t>
  </si>
  <si>
    <t>Programul turneului final al Campionatului Mondial de Fotbal 2006</t>
  </si>
  <si>
    <t>Orari i turneut final t� Kup�s Bot�rore 2006</t>
  </si>
  <si>
    <t>Kalendar za Svjetsko prvenstvo 2006 Njemačka</t>
  </si>
  <si>
    <t>Расписание игр финальной стадии чемпионата мира по футболу 2006</t>
  </si>
  <si>
    <t>Розклад ігор фінальної частини чемпіонату світу з футболу 2006 року</t>
  </si>
  <si>
    <t>2006 Dünya Kupası Turnuva Takvimi</t>
  </si>
  <si>
    <t>2006 Dünya Çempionatının Final mərhələsinin təqvimi</t>
  </si>
  <si>
    <t>Lịch thi đấu vòng chung kết World Cup 2006</t>
  </si>
  <si>
    <t>Jadwal Putaran Final World Cup 2006</t>
  </si>
  <si>
    <t>Ratiba ya Fainali za Kombe la Dunia</t>
  </si>
  <si>
    <t>Дэлхийн цом 2006 - Шувтаргын тоглолтын хуваарь</t>
  </si>
  <si>
    <t>ตารางการแข่งขันฟุตบอลโลก 2006 รอบสุดท้าย</t>
  </si>
  <si>
    <t>ވާލްޑް ކަޕް 2006 މުބާރާތުގެ ތާވަލު</t>
  </si>
  <si>
    <t>உலகக் கோப்பை 2006 அட்டவணை</t>
  </si>
  <si>
    <t xml:space="preserve">אליפות העולם 2006 לוח זמנים </t>
  </si>
  <si>
    <t>جدول نهائيات كأس العالم 2006</t>
  </si>
  <si>
    <t>جدول مسابقات فینال جام جهانی 2006</t>
  </si>
  <si>
    <t>خشته‌ی یارییه‌کانی کۆتایی جامی جیهانی 2006</t>
  </si>
  <si>
    <t xml:space="preserve">ورلڈ کپ 2006 فاینل ٹورنامنٹ جدول </t>
  </si>
  <si>
    <t>2006年世界盃時間表</t>
  </si>
  <si>
    <t>2006年世界杯时间表</t>
  </si>
  <si>
    <t>ワールドカップ２００６試合日程</t>
  </si>
  <si>
    <t>월드컵 2006 최종 토너먼트 일정</t>
  </si>
  <si>
    <t>Germany</t>
  </si>
  <si>
    <t>Deutschland</t>
  </si>
  <si>
    <t>Allemagne</t>
  </si>
  <si>
    <t>Alemania</t>
  </si>
  <si>
    <t>Germania</t>
  </si>
  <si>
    <t>Alemanha</t>
  </si>
  <si>
    <t>Duitsland</t>
  </si>
  <si>
    <t>Tyskland</t>
  </si>
  <si>
    <t>D��tschland</t>
  </si>
  <si>
    <t>Daitschland</t>
  </si>
  <si>
    <t>Γερμανία</t>
  </si>
  <si>
    <t>Niemcy</t>
  </si>
  <si>
    <t>Германия</t>
  </si>
  <si>
    <t>N�metorsz�g</t>
  </si>
  <si>
    <t>Njemačka</t>
  </si>
  <si>
    <t>Немачка</t>
  </si>
  <si>
    <t>Německo</t>
  </si>
  <si>
    <t>Nemecko</t>
  </si>
  <si>
    <t>Nemčija</t>
  </si>
  <si>
    <t>Gjermania</t>
  </si>
  <si>
    <t>Німеччіна</t>
  </si>
  <si>
    <t>Almanya</t>
  </si>
  <si>
    <t>Almaniya</t>
  </si>
  <si>
    <t>Đức</t>
  </si>
  <si>
    <t>Jerman</t>
  </si>
  <si>
    <t>Ujerumani</t>
  </si>
  <si>
    <t>Герман</t>
  </si>
  <si>
    <t>เยอรมนี</t>
  </si>
  <si>
    <t>ޖަރުމަނު ވިލާތް</t>
  </si>
  <si>
    <t>ஜெர்மனி</t>
  </si>
  <si>
    <t>גרמניה</t>
  </si>
  <si>
    <t>المانيا</t>
  </si>
  <si>
    <t>آلمان</t>
  </si>
  <si>
    <t>ئه‌لمانیا</t>
  </si>
  <si>
    <t>جرمنی</t>
  </si>
  <si>
    <t>德國</t>
  </si>
  <si>
    <t>德国</t>
  </si>
  <si>
    <t>ドイツ</t>
  </si>
  <si>
    <t>독일</t>
  </si>
  <si>
    <t>Costa Rica</t>
  </si>
  <si>
    <t>Costa Riga</t>
  </si>
  <si>
    <t>Κόστα Ρίκα</t>
  </si>
  <si>
    <t>Kostaryka</t>
  </si>
  <si>
    <t>Коста Рика</t>
  </si>
  <si>
    <t>Kostarika</t>
  </si>
  <si>
    <t>Костарика</t>
  </si>
  <si>
    <t>Коста Ріка</t>
  </si>
  <si>
    <t>Kosta Rika</t>
  </si>
  <si>
    <t>คอสตาริกา</t>
  </si>
  <si>
    <t>ކޮސްޓަ ރީކާ</t>
  </si>
  <si>
    <t>கோஸ்டா ரிக்கா</t>
  </si>
  <si>
    <t>קוסטה ריקה</t>
  </si>
  <si>
    <t>كوستا ريكا</t>
  </si>
  <si>
    <t>كاستاريكا</t>
  </si>
  <si>
    <t>کۆستاریکا</t>
  </si>
  <si>
    <t xml:space="preserve">کوسٹا ریکا </t>
  </si>
  <si>
    <t>哥斯達黎加</t>
  </si>
  <si>
    <t>哥斯达黎加</t>
  </si>
  <si>
    <t>コスタリカ</t>
  </si>
  <si>
    <t>코스타리카</t>
  </si>
  <si>
    <t>Poland</t>
  </si>
  <si>
    <t>Polen</t>
  </si>
  <si>
    <t>Pologne</t>
  </si>
  <si>
    <t>Polonia</t>
  </si>
  <si>
    <t>Pol�nia</t>
  </si>
  <si>
    <t>Pohle</t>
  </si>
  <si>
    <t>Πολωνία</t>
  </si>
  <si>
    <t>Polska</t>
  </si>
  <si>
    <t>Полша</t>
  </si>
  <si>
    <t>Lengyelorsz�g</t>
  </si>
  <si>
    <t>Poljska</t>
  </si>
  <si>
    <t>Пољска</t>
  </si>
  <si>
    <t>Polsko</t>
  </si>
  <si>
    <t>Poľsko</t>
  </si>
  <si>
    <t>Польша</t>
  </si>
  <si>
    <t>Польща</t>
  </si>
  <si>
    <t>Polonya</t>
  </si>
  <si>
    <t>Polşa</t>
  </si>
  <si>
    <t>Ba Lan</t>
  </si>
  <si>
    <t>Polandia</t>
  </si>
  <si>
    <t>Польш</t>
  </si>
  <si>
    <t>โปแลนด์</t>
  </si>
  <si>
    <t>ޕޯލަންޑް</t>
  </si>
  <si>
    <t>போலந்து</t>
  </si>
  <si>
    <t>פולין</t>
  </si>
  <si>
    <t>بولندا</t>
  </si>
  <si>
    <t>لهستان</t>
  </si>
  <si>
    <t>پۆله‌ندا</t>
  </si>
  <si>
    <t>پولینڈ</t>
  </si>
  <si>
    <t>波蘭</t>
  </si>
  <si>
    <t>波兰</t>
  </si>
  <si>
    <t>ポーランド</t>
  </si>
  <si>
    <t>폴란드</t>
  </si>
  <si>
    <t>Ecuador</t>
  </si>
  <si>
    <t>Equateur</t>
  </si>
  <si>
    <t>Equador</t>
  </si>
  <si>
    <t>Ekuador</t>
  </si>
  <si>
    <t>Ισημερινός</t>
  </si>
  <si>
    <t>Ekwador</t>
  </si>
  <si>
    <t>Еквадор</t>
  </si>
  <si>
    <t>Ekvador</t>
  </si>
  <si>
    <t>Ekv�dor</t>
  </si>
  <si>
    <t>Ekuadori</t>
  </si>
  <si>
    <t>Эквадор</t>
  </si>
  <si>
    <t>Ekvator</t>
  </si>
  <si>
    <t>Екуадор</t>
  </si>
  <si>
    <t>เอกวาดอร์</t>
  </si>
  <si>
    <t>އެކުއަޑޯ</t>
  </si>
  <si>
    <t>ஈக்வடார்</t>
  </si>
  <si>
    <t>אקוודור</t>
  </si>
  <si>
    <t>الإكوادور</t>
  </si>
  <si>
    <t>اکوادور</t>
  </si>
  <si>
    <t>ئێکوادۆر</t>
  </si>
  <si>
    <t>ایکوا ڈور</t>
  </si>
  <si>
    <t>厄瓜多爾</t>
  </si>
  <si>
    <t>厄瓜多尔</t>
  </si>
  <si>
    <t>エクアドル</t>
  </si>
  <si>
    <t>에콰도르</t>
  </si>
  <si>
    <t>England</t>
  </si>
  <si>
    <t>Angleterre</t>
  </si>
  <si>
    <t>Inglaterra</t>
  </si>
  <si>
    <t>Inghilterra</t>
  </si>
  <si>
    <t>Engeland</t>
  </si>
  <si>
    <t>�ngland</t>
  </si>
  <si>
    <t>Αγγλία</t>
  </si>
  <si>
    <t>Anglia</t>
  </si>
  <si>
    <t>Англия</t>
  </si>
  <si>
    <t>Engleska</t>
  </si>
  <si>
    <t>Енглеска</t>
  </si>
  <si>
    <t>Anglie</t>
  </si>
  <si>
    <t>Anglicko</t>
  </si>
  <si>
    <t>Anglija</t>
  </si>
  <si>
    <t>Англія</t>
  </si>
  <si>
    <t>İngiltere</t>
  </si>
  <si>
    <t>İngiltərə</t>
  </si>
  <si>
    <t>Anh</t>
  </si>
  <si>
    <t>Inggris</t>
  </si>
  <si>
    <t>Uingereza</t>
  </si>
  <si>
    <t>Англи</t>
  </si>
  <si>
    <t>อังกฤษ</t>
  </si>
  <si>
    <t>އިނގިރޭސި ވިލާތް</t>
  </si>
  <si>
    <t>இங்கிலாந்து</t>
  </si>
  <si>
    <t>אנגליה</t>
  </si>
  <si>
    <t>إنجلترا</t>
  </si>
  <si>
    <t>انگلستان</t>
  </si>
  <si>
    <t>ئینگلته‌را</t>
  </si>
  <si>
    <t>انگلینڈ</t>
  </si>
  <si>
    <t>英格蘭</t>
  </si>
  <si>
    <t>英格兰</t>
  </si>
  <si>
    <t>イングランド</t>
  </si>
  <si>
    <t>잉글랜드</t>
  </si>
  <si>
    <t>Paraguay</t>
  </si>
  <si>
    <t>Paraguai</t>
  </si>
  <si>
    <t>Paragu�i</t>
  </si>
  <si>
    <t>Παραγουάη</t>
  </si>
  <si>
    <t>Paragwaj</t>
  </si>
  <si>
    <t>Парагвай</t>
  </si>
  <si>
    <t>Paragvaj</t>
  </si>
  <si>
    <t>Парагвај</t>
  </si>
  <si>
    <t>Paraguaj</t>
  </si>
  <si>
    <t>Paraguaji</t>
  </si>
  <si>
    <t>Paraqvay</t>
  </si>
  <si>
    <t>Прагвай</t>
  </si>
  <si>
    <t>ปารากวัย</t>
  </si>
  <si>
    <t>ޕެރަގުއޭ</t>
  </si>
  <si>
    <t>பரகுவே</t>
  </si>
  <si>
    <t>פרגוואי</t>
  </si>
  <si>
    <t>البراجواي</t>
  </si>
  <si>
    <t>پاراگوئه</t>
  </si>
  <si>
    <t>پاراگوای</t>
  </si>
  <si>
    <t>پیرا گویے</t>
  </si>
  <si>
    <t>巴拉圭</t>
  </si>
  <si>
    <t>パラグアイ</t>
  </si>
  <si>
    <t>파라과이</t>
  </si>
  <si>
    <t>Trinidad &amp; Tobago</t>
  </si>
  <si>
    <t>Trinidad und Tobago</t>
  </si>
  <si>
    <t>Trinidad et Tobago</t>
  </si>
  <si>
    <t>Trinidad y Tobago</t>
  </si>
  <si>
    <t>Trinidad e Tobago</t>
  </si>
  <si>
    <t>Trinidade&amp;Tobago</t>
  </si>
  <si>
    <t>Trinidad og Tobago</t>
  </si>
  <si>
    <t>Trinidad ond Tobahgo</t>
  </si>
  <si>
    <t>Τρινιντάντ &amp; Τομπάγκο</t>
  </si>
  <si>
    <t>Trynidad i Tobago</t>
  </si>
  <si>
    <t>Тринидад и Тобаго</t>
  </si>
  <si>
    <t>Trinidad �s Tobago</t>
  </si>
  <si>
    <t>Tinidad i Tobago</t>
  </si>
  <si>
    <t>Trinidad a Tobago</t>
  </si>
  <si>
    <t>Trinidad i Tobago</t>
  </si>
  <si>
    <t>Тринідад і Тобаго</t>
  </si>
  <si>
    <t>Trinidad Tobago</t>
  </si>
  <si>
    <t>Trinidad və Tobaqo</t>
  </si>
  <si>
    <t>Trinida &amp; Tobago</t>
  </si>
  <si>
    <t>Trinidad na Tobago</t>
  </si>
  <si>
    <t>Тринидад ба Тобаго</t>
  </si>
  <si>
    <t>ตรินิแดดและโตเบโก</t>
  </si>
  <si>
    <t>ޓްރިނިޑެޑް އާއި ޓޮބޭގޯ</t>
  </si>
  <si>
    <t>ட்ரினிடாட் &amp; டோபகோ</t>
  </si>
  <si>
    <t>טרנידאד וטובאגו</t>
  </si>
  <si>
    <t xml:space="preserve">ترينيداد و توباغو </t>
  </si>
  <si>
    <t>ترینیداد و توباگو</t>
  </si>
  <si>
    <t>ترینیداد وتۆباگۆ</t>
  </si>
  <si>
    <t>ٹرینیڈاڈ و ٹوباگو</t>
  </si>
  <si>
    <t>千里達</t>
  </si>
  <si>
    <t>千里达</t>
  </si>
  <si>
    <t>トリニダード・トバゴ</t>
  </si>
  <si>
    <t>트리니다드 토바고</t>
  </si>
  <si>
    <t>Sweden</t>
  </si>
  <si>
    <t>Schweden</t>
  </si>
  <si>
    <t>Su�de</t>
  </si>
  <si>
    <t>Suecia</t>
  </si>
  <si>
    <t>Svezia</t>
  </si>
  <si>
    <t>Su�cia</t>
  </si>
  <si>
    <t>Zweden</t>
  </si>
  <si>
    <t>Sverige</t>
  </si>
  <si>
    <t>Schwede</t>
  </si>
  <si>
    <t>Σουηδία</t>
  </si>
  <si>
    <t>Szwecja</t>
  </si>
  <si>
    <t>Швеция</t>
  </si>
  <si>
    <t>Sv�dorsz�g</t>
  </si>
  <si>
    <t>Švedska</t>
  </si>
  <si>
    <t>Шведска</t>
  </si>
  <si>
    <t>Švédsko</t>
  </si>
  <si>
    <t>Suedia</t>
  </si>
  <si>
    <t>Швеція</t>
  </si>
  <si>
    <t>İsveç</t>
  </si>
  <si>
    <t>Thụy Điển</t>
  </si>
  <si>
    <t>Swedia</t>
  </si>
  <si>
    <t>Швед</t>
  </si>
  <si>
    <t>สวีเดน</t>
  </si>
  <si>
    <t>ސްވީޑްން</t>
  </si>
  <si>
    <t>ஸ்வீடன்</t>
  </si>
  <si>
    <t>שוודיה</t>
  </si>
  <si>
    <t>السويد</t>
  </si>
  <si>
    <t>سوئد</t>
  </si>
  <si>
    <t>سوید</t>
  </si>
  <si>
    <t>سویڈن</t>
  </si>
  <si>
    <t>瑞典</t>
  </si>
  <si>
    <t>スウェーデン</t>
  </si>
  <si>
    <t>스웨덴</t>
  </si>
  <si>
    <t>Argentina</t>
  </si>
  <si>
    <t>Argentinien</t>
  </si>
  <si>
    <t>Argentine</t>
  </si>
  <si>
    <t>Argentini�</t>
  </si>
  <si>
    <t>Argentinie</t>
  </si>
  <si>
    <t>Αργεντινή</t>
  </si>
  <si>
    <t>Argentyna</t>
  </si>
  <si>
    <t>Аржентина</t>
  </si>
  <si>
    <t>Argent�na</t>
  </si>
  <si>
    <t>Аргентина</t>
  </si>
  <si>
    <t>Argjentina</t>
  </si>
  <si>
    <t>Arjantin</t>
  </si>
  <si>
    <t>�c Hen Ti Na</t>
  </si>
  <si>
    <t>Аргентин</t>
  </si>
  <si>
    <t>อาร์เจนติน่า</t>
  </si>
  <si>
    <t>އާރޖެންޓީނާ</t>
  </si>
  <si>
    <t>அர்ஜென்டினா</t>
  </si>
  <si>
    <t>ארגנטינה</t>
  </si>
  <si>
    <t>الأرجنتين</t>
  </si>
  <si>
    <t>آرژانتین</t>
  </si>
  <si>
    <t>ئه‌رژه‌نتین</t>
  </si>
  <si>
    <t>ارجینٹینا</t>
  </si>
  <si>
    <t>阿根廷</t>
  </si>
  <si>
    <t>アルゼンチン</t>
  </si>
  <si>
    <t>아르헨티나</t>
  </si>
  <si>
    <t>C�te d'Ivoire</t>
  </si>
  <si>
    <t>Elfenbeink�ste</t>
  </si>
  <si>
    <t>Costa de Marfil</t>
  </si>
  <si>
    <t>Costa d'Avorio</t>
  </si>
  <si>
    <t>Costa do Marfim</t>
  </si>
  <si>
    <t>Ivoorkust</t>
  </si>
  <si>
    <t>Elfenbenskysten</t>
  </si>
  <si>
    <t>Elfeb�ik�schte</t>
  </si>
  <si>
    <t>Elfenbenskusten</t>
  </si>
  <si>
    <t>Elfebeenkuest</t>
  </si>
  <si>
    <t>Ακτή Ελεφαντοστού</t>
  </si>
  <si>
    <t>Wybrzeże Kości Słoniowej</t>
  </si>
  <si>
    <t>Кот Д'Ивоар</t>
  </si>
  <si>
    <t>Elef�ntcsontpart</t>
  </si>
  <si>
    <t>C�te d'Ivoir</t>
  </si>
  <si>
    <t>Обала слоноваче</t>
  </si>
  <si>
    <t>Pobřeží slonoviny</t>
  </si>
  <si>
    <t>Pobrežie Slonoviny</t>
  </si>
  <si>
    <t>Slonokoščena Obala</t>
  </si>
  <si>
    <t>Coasta de Fildes</t>
  </si>
  <si>
    <t>Bregu i Fildisht�</t>
  </si>
  <si>
    <t>Obala Slonovače</t>
  </si>
  <si>
    <t>Кот д'Ивуар</t>
  </si>
  <si>
    <t>Кот д'івуар</t>
  </si>
  <si>
    <t>Fildişi Sahili</t>
  </si>
  <si>
    <t>Kot d`Ivuar</t>
  </si>
  <si>
    <t>Bờ Biển Ngà</t>
  </si>
  <si>
    <t>Pantai Gading</t>
  </si>
  <si>
    <t>Зааны ясан эрэг улс</t>
  </si>
  <si>
    <t>ไอวอรี่โคสต์</t>
  </si>
  <si>
    <t>ކޯޓް ޑިވޮއަރ</t>
  </si>
  <si>
    <t>ஐவரி கோஸ்ட்</t>
  </si>
  <si>
    <t>חוף השנהב</t>
  </si>
  <si>
    <t>ساحل العاج</t>
  </si>
  <si>
    <t>ساحل عاج</t>
  </si>
  <si>
    <t>که‌ناری عاج</t>
  </si>
  <si>
    <t>آییوری کوسٹ</t>
  </si>
  <si>
    <t>科特迪瓦</t>
  </si>
  <si>
    <t>コートジボワール</t>
  </si>
  <si>
    <t>코트디부아르</t>
  </si>
  <si>
    <t>Serbia &amp; Montenegro</t>
  </si>
  <si>
    <t>Serbien und Montenegro</t>
  </si>
  <si>
    <t>Serbie et Mont�n�gro</t>
  </si>
  <si>
    <t>Serbia y Montenegro</t>
  </si>
  <si>
    <t>Serbia Montenegro</t>
  </si>
  <si>
    <t>S�rvia&amp;Montenegro</t>
  </si>
  <si>
    <t>Servi� &amp; Montenegro</t>
  </si>
  <si>
    <t>Serbia og Montenegro</t>
  </si>
  <si>
    <t>Serbie ond Montenegro</t>
  </si>
  <si>
    <t>Seribien &amp; Montenegro</t>
  </si>
  <si>
    <t>Serbien &amp; Montenegro</t>
  </si>
  <si>
    <t>Serbien &amp; Montenetro</t>
  </si>
  <si>
    <t>Σερβία &amp; Μαυροβούνιο</t>
  </si>
  <si>
    <t>Serbia i Czarnog�ra</t>
  </si>
  <si>
    <t>Сърбия и Черна гора</t>
  </si>
  <si>
    <t>Szerbia �s Montenegr�</t>
  </si>
  <si>
    <t>Srbija i Crna Gora</t>
  </si>
  <si>
    <t>Србија и Црна Гора</t>
  </si>
  <si>
    <t>Srbsko a Černá Hora</t>
  </si>
  <si>
    <t>Srbsko a Čierna Hora</t>
  </si>
  <si>
    <t>Srbija &amp; Črna Gora</t>
  </si>
  <si>
    <t>Serbia &amp; Muntenegru</t>
  </si>
  <si>
    <t>Serbia dhe Mali i zi</t>
  </si>
  <si>
    <t>Сербия и Черногория</t>
  </si>
  <si>
    <t>Сербія і Чорногорія</t>
  </si>
  <si>
    <t>Sırbistan Karadağ</t>
  </si>
  <si>
    <t>Serbiya və Çernoqoriya</t>
  </si>
  <si>
    <t>Serbia na Montenegro</t>
  </si>
  <si>
    <t>Серб ба Монтенегро</t>
  </si>
  <si>
    <t>เซอร์เบียและมอนเตเนโกร</t>
  </si>
  <si>
    <t>ސާރބިޔާ އާއި މޮންޓެނެގްރޯ</t>
  </si>
  <si>
    <t>செர்பியா &amp; மோன்டெனெக்ரொ</t>
  </si>
  <si>
    <t>סרביה מונטנגרו</t>
  </si>
  <si>
    <t>صربيا و مونتنغرو</t>
  </si>
  <si>
    <t>صربستان و مونته نگرو</t>
  </si>
  <si>
    <t>سربیاو مۆنتێنیگرۆ</t>
  </si>
  <si>
    <t>سربیا و مونٹے نیگرو</t>
  </si>
  <si>
    <t>塞黑</t>
  </si>
  <si>
    <t>セルビア・モンテネグロ</t>
  </si>
  <si>
    <t>세르비아 몬테네그로</t>
  </si>
  <si>
    <t>Netherlands</t>
  </si>
  <si>
    <t>Niederlande</t>
  </si>
  <si>
    <t>Pays-Bas</t>
  </si>
  <si>
    <t>Holanda</t>
  </si>
  <si>
    <t>Olanda</t>
  </si>
  <si>
    <t>Nederland</t>
  </si>
  <si>
    <t>Holland</t>
  </si>
  <si>
    <t>Ολλανδία</t>
  </si>
  <si>
    <t>Holandia</t>
  </si>
  <si>
    <t>Холандия</t>
  </si>
  <si>
    <t>Hollandia</t>
  </si>
  <si>
    <t>Nizozemska</t>
  </si>
  <si>
    <t>Холандија</t>
  </si>
  <si>
    <t>Nizozemsko</t>
  </si>
  <si>
    <t>Holandsko</t>
  </si>
  <si>
    <t>Голландия</t>
  </si>
  <si>
    <t>Нідерланди</t>
  </si>
  <si>
    <t>Hollanda</t>
  </si>
  <si>
    <t>Niderland</t>
  </si>
  <si>
    <t>H� Lan</t>
  </si>
  <si>
    <t>Belanda</t>
  </si>
  <si>
    <t>Uholanzi</t>
  </si>
  <si>
    <t>Недерланд</t>
  </si>
  <si>
    <t>ฮอลแลนด์</t>
  </si>
  <si>
    <t>ނެދަރލަންޑް</t>
  </si>
  <si>
    <t>நெதர்லாந்து(ஹாலந்து)</t>
  </si>
  <si>
    <t>הולנד</t>
  </si>
  <si>
    <t>هولندا</t>
  </si>
  <si>
    <t>هلند</t>
  </si>
  <si>
    <t>هۆله‌ندا</t>
  </si>
  <si>
    <t>ہالینڈ</t>
  </si>
  <si>
    <t>荷蘭</t>
  </si>
  <si>
    <t>荷兰</t>
  </si>
  <si>
    <t>オランダ</t>
  </si>
  <si>
    <t>네덜란드</t>
  </si>
  <si>
    <t>Mexico</t>
  </si>
  <si>
    <t>Mexiko</t>
  </si>
  <si>
    <t>Mexique</t>
  </si>
  <si>
    <t>M�xico</t>
  </si>
  <si>
    <t>Messico</t>
  </si>
  <si>
    <t>Μεξικό</t>
  </si>
  <si>
    <t>Meksyk</t>
  </si>
  <si>
    <t>Мексико</t>
  </si>
  <si>
    <t>Mexik�</t>
  </si>
  <si>
    <t>Meksiko</t>
  </si>
  <si>
    <t>Mehika</t>
  </si>
  <si>
    <t>Mexic</t>
  </si>
  <si>
    <t>Meksika</t>
  </si>
  <si>
    <t>Мексика</t>
  </si>
  <si>
    <t>M� Hy C�</t>
  </si>
  <si>
    <t>Мексик</t>
  </si>
  <si>
    <t>เม็กซิโก</t>
  </si>
  <si>
    <t>މެކްސިކޯ</t>
  </si>
  <si>
    <t>மெக்ஸிகோ</t>
  </si>
  <si>
    <t>מקסיקו</t>
  </si>
  <si>
    <t>المكسيك</t>
  </si>
  <si>
    <t>مکزیک</t>
  </si>
  <si>
    <t>مه‌کزیک</t>
  </si>
  <si>
    <t>میکسیکو</t>
  </si>
  <si>
    <t>墨西哥</t>
  </si>
  <si>
    <t>メキシコ</t>
  </si>
  <si>
    <t>멕시코</t>
  </si>
  <si>
    <t>Iran</t>
  </si>
  <si>
    <t>Ir�n</t>
  </si>
  <si>
    <t>Ir�</t>
  </si>
  <si>
    <t>Ιράν</t>
  </si>
  <si>
    <t>Иран</t>
  </si>
  <si>
    <t>Irani</t>
  </si>
  <si>
    <t>Іран</t>
  </si>
  <si>
    <t>İran</t>
  </si>
  <si>
    <t>อิหร่าน</t>
  </si>
  <si>
    <t>އީރާން</t>
  </si>
  <si>
    <t>ஈரான்</t>
  </si>
  <si>
    <t>אירן</t>
  </si>
  <si>
    <t>إيران</t>
  </si>
  <si>
    <t>ایران</t>
  </si>
  <si>
    <t>ئیران</t>
  </si>
  <si>
    <t>伊朗</t>
  </si>
  <si>
    <t>イラン</t>
  </si>
  <si>
    <t>이란</t>
  </si>
  <si>
    <t>Angola</t>
  </si>
  <si>
    <t>Angohla</t>
  </si>
  <si>
    <t>Ανγκόλα</t>
  </si>
  <si>
    <t>Ангола</t>
  </si>
  <si>
    <t>Anqola</t>
  </si>
  <si>
    <t>Ăng Gô La</t>
  </si>
  <si>
    <t>Ангол</t>
  </si>
  <si>
    <t>แองโกลา</t>
  </si>
  <si>
    <t>އެންގޯލާ</t>
  </si>
  <si>
    <t>அங்கோலா</t>
  </si>
  <si>
    <t>אנגולה</t>
  </si>
  <si>
    <t>أنجولا</t>
  </si>
  <si>
    <t>آنگولا</t>
  </si>
  <si>
    <t>ئه‌نگۆلا</t>
  </si>
  <si>
    <t>انگولا</t>
  </si>
  <si>
    <t>安哥拉</t>
  </si>
  <si>
    <t>アンゴラ</t>
  </si>
  <si>
    <t>앙골라</t>
  </si>
  <si>
    <t>Portugal</t>
  </si>
  <si>
    <t>Portogallo</t>
  </si>
  <si>
    <t>Portugall</t>
  </si>
  <si>
    <t>Πορτογαλία</t>
  </si>
  <si>
    <t>Portugalia</t>
  </si>
  <si>
    <t>Португалия</t>
  </si>
  <si>
    <t>Portug�lia</t>
  </si>
  <si>
    <t>Португалија</t>
  </si>
  <si>
    <t>Portugalsko</t>
  </si>
  <si>
    <t>Portugalska</t>
  </si>
  <si>
    <t>Португалія</t>
  </si>
  <si>
    <t>Portekiz</t>
  </si>
  <si>
    <t>Portuqaliya</t>
  </si>
  <si>
    <t>Bồ Đào Nha</t>
  </si>
  <si>
    <t>Ureno</t>
  </si>
  <si>
    <t>Португаль</t>
  </si>
  <si>
    <t>โปรตุเกส</t>
  </si>
  <si>
    <t>ޕޯޗުގަލް</t>
  </si>
  <si>
    <t>போர்ச்சுகல்</t>
  </si>
  <si>
    <t>פורטוגל</t>
  </si>
  <si>
    <t>البرتغال</t>
  </si>
  <si>
    <t>پرتقال</t>
  </si>
  <si>
    <t>پۆرتۆگال</t>
  </si>
  <si>
    <t>پرتگال</t>
  </si>
  <si>
    <t>葡萄牙</t>
  </si>
  <si>
    <t>ポルトガル</t>
  </si>
  <si>
    <t>포르투갈</t>
  </si>
  <si>
    <t>Italy</t>
  </si>
  <si>
    <t>Italien</t>
  </si>
  <si>
    <t>Italie</t>
  </si>
  <si>
    <t>Italia</t>
  </si>
  <si>
    <t>It�lia</t>
  </si>
  <si>
    <t>Itali�</t>
  </si>
  <si>
    <t>Ιταλία</t>
  </si>
  <si>
    <t>Włochy</t>
  </si>
  <si>
    <t>Италия</t>
  </si>
  <si>
    <t>Olaszorsz�g</t>
  </si>
  <si>
    <t>Italija</t>
  </si>
  <si>
    <t>Италија</t>
  </si>
  <si>
    <t>It�lie</t>
  </si>
  <si>
    <t>Taliansko</t>
  </si>
  <si>
    <t>Італія</t>
  </si>
  <si>
    <t>İtalya</t>
  </si>
  <si>
    <t>İtaliya</t>
  </si>
  <si>
    <t>�</t>
  </si>
  <si>
    <t>Италь</t>
  </si>
  <si>
    <t>อิตาลี</t>
  </si>
  <si>
    <t>އިޓަލީ</t>
  </si>
  <si>
    <t>இத்தாலி</t>
  </si>
  <si>
    <t>איטליה</t>
  </si>
  <si>
    <t>إيطاليا</t>
  </si>
  <si>
    <t>ایتالیا</t>
  </si>
  <si>
    <t>ئیتالیا</t>
  </si>
  <si>
    <t>اٹلی</t>
  </si>
  <si>
    <t>意大利</t>
  </si>
  <si>
    <t>イタリア</t>
  </si>
  <si>
    <t>이탈리아</t>
  </si>
  <si>
    <t>Ghana</t>
  </si>
  <si>
    <t>Gana</t>
  </si>
  <si>
    <t>Gahna</t>
  </si>
  <si>
    <t>Chana</t>
  </si>
  <si>
    <t>Γκάνα</t>
  </si>
  <si>
    <t>Гана</t>
  </si>
  <si>
    <t>Gh�na</t>
  </si>
  <si>
    <t>Qana</t>
  </si>
  <si>
    <t>Гань</t>
  </si>
  <si>
    <t>กาน่า</t>
  </si>
  <si>
    <t>ގާނާ</t>
  </si>
  <si>
    <t>கானா</t>
  </si>
  <si>
    <t>גאנה</t>
  </si>
  <si>
    <t>غانا</t>
  </si>
  <si>
    <t>غنا</t>
  </si>
  <si>
    <t>گھانا</t>
  </si>
  <si>
    <t>加納</t>
  </si>
  <si>
    <t>加纳</t>
  </si>
  <si>
    <t>ガーナ</t>
  </si>
  <si>
    <t>가나</t>
  </si>
  <si>
    <t>USA</t>
  </si>
  <si>
    <t>Etats-Unis</t>
  </si>
  <si>
    <t>Estados Unidos</t>
  </si>
  <si>
    <t>EUA</t>
  </si>
  <si>
    <t>VSA</t>
  </si>
  <si>
    <t>Amerika</t>
  </si>
  <si>
    <t>Η.Π.Α.</t>
  </si>
  <si>
    <t>Stany Zjednoczone</t>
  </si>
  <si>
    <t>САЩ</t>
  </si>
  <si>
    <t>Amerikai Egyes�lt �llamok</t>
  </si>
  <si>
    <t>SAD</t>
  </si>
  <si>
    <t>САД</t>
  </si>
  <si>
    <t>ZDA</t>
  </si>
  <si>
    <t>SUA</t>
  </si>
  <si>
    <t>ShBA</t>
  </si>
  <si>
    <t>США</t>
  </si>
  <si>
    <t>ABD</t>
  </si>
  <si>
    <t>ABŞ</t>
  </si>
  <si>
    <t>Mỹ</t>
  </si>
  <si>
    <t>Marekani</t>
  </si>
  <si>
    <t>АНУ</t>
  </si>
  <si>
    <t>สหรัฐอเมริกา</t>
  </si>
  <si>
    <t>އެމެރިކާ</t>
  </si>
  <si>
    <t>அமெரிக்கா</t>
  </si>
  <si>
    <t>ארה"ב</t>
  </si>
  <si>
    <t>الولايات المتحدة الأمريكية</t>
  </si>
  <si>
    <t>آمریکا</t>
  </si>
  <si>
    <t>ئه‌مریکا</t>
  </si>
  <si>
    <t>ریاست ہایے متحدہ امریکہ</t>
  </si>
  <si>
    <t>美國</t>
  </si>
  <si>
    <t>美国</t>
  </si>
  <si>
    <t>アメリカ</t>
  </si>
  <si>
    <t>미국</t>
  </si>
  <si>
    <t>Czech Republic</t>
  </si>
  <si>
    <t>Tschechien</t>
  </si>
  <si>
    <t>R�publique Tch�que</t>
  </si>
  <si>
    <t>Rep�blica Checa</t>
  </si>
  <si>
    <t>Repubblica Ceca</t>
  </si>
  <si>
    <t>Rep�blica Tcheca</t>
  </si>
  <si>
    <t>Tsjechische Republiek</t>
  </si>
  <si>
    <t>Tsjekkia</t>
  </si>
  <si>
    <t>Tschechischi Republik</t>
  </si>
  <si>
    <t>Tjeckien</t>
  </si>
  <si>
    <t>Tjekkiet</t>
  </si>
  <si>
    <t>Τσεχία</t>
  </si>
  <si>
    <t>Czechy</t>
  </si>
  <si>
    <t>Чехия</t>
  </si>
  <si>
    <t>Csehorsz�g</t>
  </si>
  <si>
    <t>Češka Republika</t>
  </si>
  <si>
    <t>Чешка</t>
  </si>
  <si>
    <t>Česká republika</t>
  </si>
  <si>
    <t>Česko</t>
  </si>
  <si>
    <t>Republica Cehă</t>
  </si>
  <si>
    <t>�ekia</t>
  </si>
  <si>
    <t>Чехія</t>
  </si>
  <si>
    <t>�ek Cumhuriyeti</t>
  </si>
  <si>
    <t>�exiya</t>
  </si>
  <si>
    <t>Cộng hoà Séc</t>
  </si>
  <si>
    <t>Rep. Ceko</t>
  </si>
  <si>
    <t>Jamhuri ya Czech</t>
  </si>
  <si>
    <t>Чех</t>
  </si>
  <si>
    <t>สาธารณรัฐเช็ก</t>
  </si>
  <si>
    <t>ޗެކް ޖުމްހޫރިއްޔާ</t>
  </si>
  <si>
    <t>செக் குடியரசு</t>
  </si>
  <si>
    <t>צ'כיה</t>
  </si>
  <si>
    <t xml:space="preserve">جمهورية التشيك </t>
  </si>
  <si>
    <t>جمهوری چک</t>
  </si>
  <si>
    <t>کۆماری چیک</t>
  </si>
  <si>
    <t xml:space="preserve">جمہوریہ چیک </t>
  </si>
  <si>
    <t>捷克</t>
  </si>
  <si>
    <t>チェコ</t>
  </si>
  <si>
    <t>체크 공화국</t>
  </si>
  <si>
    <t>Brazil</t>
  </si>
  <si>
    <t>Brasilien</t>
  </si>
  <si>
    <t>Br�sil</t>
  </si>
  <si>
    <t>Brasil</t>
  </si>
  <si>
    <t>Brasile</t>
  </si>
  <si>
    <t>Brazili�</t>
  </si>
  <si>
    <t>Brasilie</t>
  </si>
  <si>
    <t>Βραζιλία</t>
  </si>
  <si>
    <t>Brazylia</t>
  </si>
  <si>
    <t>Бразилия</t>
  </si>
  <si>
    <t>Braz�lia</t>
  </si>
  <si>
    <t>Бразил</t>
  </si>
  <si>
    <t>Braz�lie</t>
  </si>
  <si>
    <t>Brazilija</t>
  </si>
  <si>
    <t>Brazilia</t>
  </si>
  <si>
    <t>Brazili</t>
  </si>
  <si>
    <t>Бразилія</t>
  </si>
  <si>
    <t>Brezilya</t>
  </si>
  <si>
    <t>Braziliya</t>
  </si>
  <si>
    <t>บราซิล</t>
  </si>
  <si>
    <t>ބްރެޒިލް</t>
  </si>
  <si>
    <t>பிரேசில்</t>
  </si>
  <si>
    <t>ברזיל</t>
  </si>
  <si>
    <t>البرازيل</t>
  </si>
  <si>
    <t>برزیل</t>
  </si>
  <si>
    <t>به‌ڕازیل</t>
  </si>
  <si>
    <t>برازیل</t>
  </si>
  <si>
    <t>巴西</t>
  </si>
  <si>
    <t>ブラジル</t>
  </si>
  <si>
    <t>브라질</t>
  </si>
  <si>
    <t>Croatia</t>
  </si>
  <si>
    <t>Kroatien</t>
  </si>
  <si>
    <t>Croatie</t>
  </si>
  <si>
    <t>Croacia</t>
  </si>
  <si>
    <t>Croazia</t>
  </si>
  <si>
    <t>Cro�cia</t>
  </si>
  <si>
    <t>Croati�</t>
  </si>
  <si>
    <t>Kroatia</t>
  </si>
  <si>
    <t>Kroazie</t>
  </si>
  <si>
    <t>Κροατία</t>
  </si>
  <si>
    <t>Chorwacja</t>
  </si>
  <si>
    <t>Хърватска</t>
  </si>
  <si>
    <t>Horv�torsz�g</t>
  </si>
  <si>
    <t>Hrvatska</t>
  </si>
  <si>
    <t>Хрватска</t>
  </si>
  <si>
    <t>Chorvatsko</t>
  </si>
  <si>
    <t>Chorv�tsko</t>
  </si>
  <si>
    <t>Hrvaška</t>
  </si>
  <si>
    <t>Croaţia</t>
  </si>
  <si>
    <t>Kroacia</t>
  </si>
  <si>
    <t>Хорватия</t>
  </si>
  <si>
    <t>Хорватія</t>
  </si>
  <si>
    <t>Hırvatistan</t>
  </si>
  <si>
    <t>Xorvatiya</t>
  </si>
  <si>
    <t>Kroasia</t>
  </si>
  <si>
    <t>Хорват</t>
  </si>
  <si>
    <t>โครเอเชีย</t>
  </si>
  <si>
    <t>ކްރޮއޭޝިޔާ</t>
  </si>
  <si>
    <t>குரேஷியா</t>
  </si>
  <si>
    <t>קרואטיה</t>
  </si>
  <si>
    <t>كرواتيا</t>
  </si>
  <si>
    <t>کرواسی</t>
  </si>
  <si>
    <t>کۆرواتیا</t>
  </si>
  <si>
    <t>کروشیا</t>
  </si>
  <si>
    <t>克羅地亞</t>
  </si>
  <si>
    <t>克罗地亚</t>
  </si>
  <si>
    <t>クロアチア</t>
  </si>
  <si>
    <t>크로아티아</t>
  </si>
  <si>
    <t>Australia</t>
  </si>
  <si>
    <t>Australien</t>
  </si>
  <si>
    <t>Australie</t>
  </si>
  <si>
    <t>Austr�lia</t>
  </si>
  <si>
    <t>Australi�</t>
  </si>
  <si>
    <t>Auschtralie</t>
  </si>
  <si>
    <t>Αυστραλία</t>
  </si>
  <si>
    <t>Австралия</t>
  </si>
  <si>
    <t>Ausztr�lia</t>
  </si>
  <si>
    <t>Australija</t>
  </si>
  <si>
    <t>Аустралија</t>
  </si>
  <si>
    <t>Austr�lie</t>
  </si>
  <si>
    <t>Avstralija</t>
  </si>
  <si>
    <t>Австралія</t>
  </si>
  <si>
    <t>Avustralya</t>
  </si>
  <si>
    <t>Avstraliya</t>
  </si>
  <si>
    <t>�c</t>
  </si>
  <si>
    <t>Австраль</t>
  </si>
  <si>
    <t>ออสเตรเลีย</t>
  </si>
  <si>
    <t>އޮސްޓްރޭލިޔާ</t>
  </si>
  <si>
    <t>ஆஸ்திரேலியா</t>
  </si>
  <si>
    <t>אוסטרליה</t>
  </si>
  <si>
    <t>أستراليا</t>
  </si>
  <si>
    <t>استرالیا</t>
  </si>
  <si>
    <t>ئۆسترالیا</t>
  </si>
  <si>
    <t>آسٹریلیا</t>
  </si>
  <si>
    <t>澳洲</t>
  </si>
  <si>
    <t>オーストラリア</t>
  </si>
  <si>
    <t>호주</t>
  </si>
  <si>
    <t>Japan</t>
  </si>
  <si>
    <t>Japon</t>
  </si>
  <si>
    <t>Jap�n</t>
  </si>
  <si>
    <t>Giappone</t>
  </si>
  <si>
    <t>Jap�o</t>
  </si>
  <si>
    <t>Ιαπωνία</t>
  </si>
  <si>
    <t>Japonia</t>
  </si>
  <si>
    <t>Япония</t>
  </si>
  <si>
    <t>Јапан</t>
  </si>
  <si>
    <t>Japonsko</t>
  </si>
  <si>
    <t>Japonska</t>
  </si>
  <si>
    <t>Японія</t>
  </si>
  <si>
    <t>Japonya</t>
  </si>
  <si>
    <t>Yaponiya</t>
  </si>
  <si>
    <t>Nhật Bản</t>
  </si>
  <si>
    <t>Jepang</t>
  </si>
  <si>
    <t>Япон</t>
  </si>
  <si>
    <t>ญี่ปุ่น</t>
  </si>
  <si>
    <t>ޖަޕާން</t>
  </si>
  <si>
    <t>ஜப்பான்</t>
  </si>
  <si>
    <t>יפן</t>
  </si>
  <si>
    <t>اليابان</t>
  </si>
  <si>
    <t>ژاپن</t>
  </si>
  <si>
    <t>ژاپۆن</t>
  </si>
  <si>
    <t>جاپان</t>
  </si>
  <si>
    <t>日本</t>
  </si>
  <si>
    <t>일본</t>
  </si>
  <si>
    <t>France</t>
  </si>
  <si>
    <t>Frankreich</t>
  </si>
  <si>
    <t>Francia</t>
  </si>
  <si>
    <t>Fran�a</t>
  </si>
  <si>
    <t>Frankrijk</t>
  </si>
  <si>
    <t>Frankrike</t>
  </si>
  <si>
    <t>Frankriich</t>
  </si>
  <si>
    <t>Frankraich</t>
  </si>
  <si>
    <t>Frankrig</t>
  </si>
  <si>
    <t>Γαλλία</t>
  </si>
  <si>
    <t>Francja</t>
  </si>
  <si>
    <t>Франция</t>
  </si>
  <si>
    <t>Franciaorsz�g</t>
  </si>
  <si>
    <t>Francuska</t>
  </si>
  <si>
    <t>Француска</t>
  </si>
  <si>
    <t>Francie</t>
  </si>
  <si>
    <t>Franc�zsko</t>
  </si>
  <si>
    <t>Francija</t>
  </si>
  <si>
    <t>Franţa</t>
  </si>
  <si>
    <t>Franca</t>
  </si>
  <si>
    <t>Франція</t>
  </si>
  <si>
    <t>Fransa</t>
  </si>
  <si>
    <t>Ph�p</t>
  </si>
  <si>
    <t>Perancis</t>
  </si>
  <si>
    <t>Ufaransa</t>
  </si>
  <si>
    <t>Франц</t>
  </si>
  <si>
    <t>ฝรั่งเศส</t>
  </si>
  <si>
    <t>ފަރަންސޭސި ވިލާތް</t>
  </si>
  <si>
    <t>பிரான்சு</t>
  </si>
  <si>
    <t>צרפת</t>
  </si>
  <si>
    <t>فرنسا</t>
  </si>
  <si>
    <t>فرانسه</t>
  </si>
  <si>
    <t>فه‌رانسا</t>
  </si>
  <si>
    <t>فرانس</t>
  </si>
  <si>
    <t>法國</t>
  </si>
  <si>
    <t>法国</t>
  </si>
  <si>
    <t>フランス</t>
  </si>
  <si>
    <t>프랑스</t>
  </si>
  <si>
    <t>Switzerland</t>
  </si>
  <si>
    <t>Schweiz</t>
  </si>
  <si>
    <t>Suisse</t>
  </si>
  <si>
    <t>Suiza</t>
  </si>
  <si>
    <t>Svizzera</t>
  </si>
  <si>
    <t>Su��a</t>
  </si>
  <si>
    <t>Zwitserland</t>
  </si>
  <si>
    <t>Sveits</t>
  </si>
  <si>
    <t>Schwiiz</t>
  </si>
  <si>
    <t>Schwaitz</t>
  </si>
  <si>
    <t>Ελβετία</t>
  </si>
  <si>
    <t>Szwajcaria</t>
  </si>
  <si>
    <t>Швейцария</t>
  </si>
  <si>
    <t>Sv�jc</t>
  </si>
  <si>
    <t>Švicarska</t>
  </si>
  <si>
    <t>Швајцарска</t>
  </si>
  <si>
    <t>Švýcarsko</t>
  </si>
  <si>
    <t>Švajčiarsko</t>
  </si>
  <si>
    <t>Švica</t>
  </si>
  <si>
    <t>Elveţia</t>
  </si>
  <si>
    <t>Zvicra</t>
  </si>
  <si>
    <t>Швейцарія</t>
  </si>
  <si>
    <t>İsviçre</t>
  </si>
  <si>
    <t>İsveçrə</t>
  </si>
  <si>
    <t>Thụy Sĩ</t>
  </si>
  <si>
    <t>Uswisi</t>
  </si>
  <si>
    <t>Швецарь</t>
  </si>
  <si>
    <t>สวิตเซอร์แลนด์</t>
  </si>
  <si>
    <t>ސްވިޓްޒަރލޭންޑް</t>
  </si>
  <si>
    <t>சுவிஸ்சர்லாந்து</t>
  </si>
  <si>
    <t>שוויץ</t>
  </si>
  <si>
    <t>سويسرا</t>
  </si>
  <si>
    <t>سوئیس</t>
  </si>
  <si>
    <t>سویسرا</t>
  </si>
  <si>
    <t>سویٹزر لینڈ</t>
  </si>
  <si>
    <t>瑞士</t>
  </si>
  <si>
    <t>スイス</t>
  </si>
  <si>
    <t>스위스</t>
  </si>
  <si>
    <t>South Korea</t>
  </si>
  <si>
    <t>S�d Korea</t>
  </si>
  <si>
    <t>R�publique de Cor�e</t>
  </si>
  <si>
    <t>Sur Corea</t>
  </si>
  <si>
    <t>Corea del Sud</t>
  </si>
  <si>
    <t>Cor�ia do Sul</t>
  </si>
  <si>
    <t>Zuid-Korea</t>
  </si>
  <si>
    <t>S�r-Korea</t>
  </si>
  <si>
    <t>S�dkorea</t>
  </si>
  <si>
    <t>Syd Korea</t>
  </si>
  <si>
    <t>Suedkorea</t>
  </si>
  <si>
    <t>Sydkorea</t>
  </si>
  <si>
    <t>Ν. Κορέα</t>
  </si>
  <si>
    <t>Korea Płd.</t>
  </si>
  <si>
    <t>Южна Корея</t>
  </si>
  <si>
    <t>D�l-Korea</t>
  </si>
  <si>
    <t>Južna Koreja</t>
  </si>
  <si>
    <t>Јужна Кореја</t>
  </si>
  <si>
    <t>Jižní Korea</t>
  </si>
  <si>
    <t>K�rejsk� republika</t>
  </si>
  <si>
    <t>Coreea de Sud</t>
  </si>
  <si>
    <t>Korea e Jugut</t>
  </si>
  <si>
    <t>Южная Корея</t>
  </si>
  <si>
    <t>Південна Корея</t>
  </si>
  <si>
    <t>G�ney Kore</t>
  </si>
  <si>
    <t>Cənubi Koreya</t>
  </si>
  <si>
    <t>Hàn Quốc</t>
  </si>
  <si>
    <t>Korea Selatan</t>
  </si>
  <si>
    <t>Korea ya Kusini</t>
  </si>
  <si>
    <t>Өмнөд Солонгос</t>
  </si>
  <si>
    <t>เกาหลีใต้</t>
  </si>
  <si>
    <t>އުތުރު ކޮރެޔާ</t>
  </si>
  <si>
    <t>தென் கொரியா</t>
  </si>
  <si>
    <t>דרום קוריאה</t>
  </si>
  <si>
    <t>كوريا الجنوبيّة</t>
  </si>
  <si>
    <t>کره جنوبی</t>
  </si>
  <si>
    <t>کۆریای باشور</t>
  </si>
  <si>
    <t>جنوبی کوریا</t>
  </si>
  <si>
    <t>南韓</t>
  </si>
  <si>
    <t>南韩</t>
  </si>
  <si>
    <t>韓国</t>
  </si>
  <si>
    <t>대한민국</t>
  </si>
  <si>
    <t>Togo</t>
  </si>
  <si>
    <t>Tohgo</t>
  </si>
  <si>
    <t>Τόγκο</t>
  </si>
  <si>
    <t>Того</t>
  </si>
  <si>
    <t>Toqo</t>
  </si>
  <si>
    <t>โตโก</t>
  </si>
  <si>
    <t>ޓޯގޯ</t>
  </si>
  <si>
    <t>டோகோ</t>
  </si>
  <si>
    <t>טוגו</t>
  </si>
  <si>
    <t>التوجو</t>
  </si>
  <si>
    <t>توگو</t>
  </si>
  <si>
    <t>تۆگۆ</t>
  </si>
  <si>
    <t>ٹوگو</t>
  </si>
  <si>
    <t>多哥</t>
  </si>
  <si>
    <t>トーゴ</t>
  </si>
  <si>
    <t>토고</t>
  </si>
  <si>
    <t>Spain</t>
  </si>
  <si>
    <t>Spanien</t>
  </si>
  <si>
    <t>Espagne</t>
  </si>
  <si>
    <t>Espa�a</t>
  </si>
  <si>
    <t>Spagna</t>
  </si>
  <si>
    <t>Espanha</t>
  </si>
  <si>
    <t>Spanje</t>
  </si>
  <si>
    <t>Spania</t>
  </si>
  <si>
    <t>Schpanie</t>
  </si>
  <si>
    <t>Spuenien</t>
  </si>
  <si>
    <t>Ισπανία</t>
  </si>
  <si>
    <t>Hiszpania</t>
  </si>
  <si>
    <t>Испания</t>
  </si>
  <si>
    <t>Spanyolorsz�g</t>
  </si>
  <si>
    <t>Španjolska</t>
  </si>
  <si>
    <t>Шпанија</t>
  </si>
  <si>
    <t>Španělsko</t>
  </si>
  <si>
    <t>Španielsko</t>
  </si>
  <si>
    <t>Španija</t>
  </si>
  <si>
    <t>Spanja</t>
  </si>
  <si>
    <t>Іспанія</t>
  </si>
  <si>
    <t>İspanya</t>
  </si>
  <si>
    <t>İspaniya</t>
  </si>
  <si>
    <t>T�y Ban Nha</t>
  </si>
  <si>
    <t>Spanyol</t>
  </si>
  <si>
    <t>Испани</t>
  </si>
  <si>
    <t>สเปน</t>
  </si>
  <si>
    <t>ސްޕޭން</t>
  </si>
  <si>
    <t>ஸ்பெயின்</t>
  </si>
  <si>
    <t>ספרד</t>
  </si>
  <si>
    <t>اسبانيا</t>
  </si>
  <si>
    <t>اسپانیا</t>
  </si>
  <si>
    <t>ئیسپانیا</t>
  </si>
  <si>
    <t>سپین</t>
  </si>
  <si>
    <t>西班牙</t>
  </si>
  <si>
    <t>スペイン</t>
  </si>
  <si>
    <t>스페인</t>
  </si>
  <si>
    <t>Ukraine</t>
  </si>
  <si>
    <t>Ucrania</t>
  </si>
  <si>
    <t>Ucraina</t>
  </si>
  <si>
    <t>Ucr�nia</t>
  </si>
  <si>
    <t>Ukraina</t>
  </si>
  <si>
    <t>Ουκρανία</t>
  </si>
  <si>
    <t>Украйна</t>
  </si>
  <si>
    <t>Ukrajna</t>
  </si>
  <si>
    <t>Ukrajina</t>
  </si>
  <si>
    <t>Украјина</t>
  </si>
  <si>
    <t>Украина</t>
  </si>
  <si>
    <t>Україна</t>
  </si>
  <si>
    <t>Ukrayna</t>
  </si>
  <si>
    <t>Украйн</t>
  </si>
  <si>
    <t>ยูเครน</t>
  </si>
  <si>
    <t>ޔުކްރޭން</t>
  </si>
  <si>
    <t>உக்ரயின்</t>
  </si>
  <si>
    <t>אוקרינה</t>
  </si>
  <si>
    <t>أوكرانيا</t>
  </si>
  <si>
    <t>اوکراین</t>
  </si>
  <si>
    <t>ئۆکراین</t>
  </si>
  <si>
    <t>یوکراین</t>
  </si>
  <si>
    <t>烏克蘭</t>
  </si>
  <si>
    <t>乌克兰</t>
  </si>
  <si>
    <t>ウクライナ</t>
  </si>
  <si>
    <t>우크라이나</t>
  </si>
  <si>
    <t>Tunisia</t>
  </si>
  <si>
    <t>Tunesien</t>
  </si>
  <si>
    <t>Tunisie</t>
  </si>
  <si>
    <t>T�nez</t>
  </si>
  <si>
    <t>Tun�sia</t>
  </si>
  <si>
    <t>Tunesi�</t>
  </si>
  <si>
    <t>Tunesie</t>
  </si>
  <si>
    <t>Tunisien</t>
  </si>
  <si>
    <t>Τυνησία</t>
  </si>
  <si>
    <t>Tunezja</t>
  </si>
  <si>
    <t>Тунис</t>
  </si>
  <si>
    <t>Tun�zia</t>
  </si>
  <si>
    <t>Tunis</t>
  </si>
  <si>
    <t>Tunisko</t>
  </si>
  <si>
    <t>Tunizija</t>
  </si>
  <si>
    <t>Tunisi</t>
  </si>
  <si>
    <t>Туніс</t>
  </si>
  <si>
    <t>Tunus</t>
  </si>
  <si>
    <t>Tuy Ni Di</t>
  </si>
  <si>
    <t>Туннис</t>
  </si>
  <si>
    <t>ตูนีเซีย</t>
  </si>
  <si>
    <t>ޓިއުނީޝިޔާ</t>
  </si>
  <si>
    <t>துனிசியா</t>
  </si>
  <si>
    <t>טוניסיה</t>
  </si>
  <si>
    <t>تونس</t>
  </si>
  <si>
    <t>تیونس</t>
  </si>
  <si>
    <t>突尼西亞</t>
  </si>
  <si>
    <t>突尼西亚</t>
  </si>
  <si>
    <t>チュニジア</t>
  </si>
  <si>
    <t>튀니지</t>
  </si>
  <si>
    <t>Saudi Arabia</t>
  </si>
  <si>
    <t>Saudiarabien</t>
  </si>
  <si>
    <t>Arabie Saoudite</t>
  </si>
  <si>
    <t>Arabia Saud�</t>
  </si>
  <si>
    <t>Arabia Saudita</t>
  </si>
  <si>
    <t>Ar�bia Saudita</t>
  </si>
  <si>
    <t>Saudi Arabi�</t>
  </si>
  <si>
    <t>Saudi Arabie</t>
  </si>
  <si>
    <t>Saudi Arabien</t>
  </si>
  <si>
    <t>Saudi-Arabien</t>
  </si>
  <si>
    <t>Σαουδική Αραβία</t>
  </si>
  <si>
    <t>Arabia Saudyjska</t>
  </si>
  <si>
    <t>Саудитска Арабия</t>
  </si>
  <si>
    <t>Sza�d-Ar�bia</t>
  </si>
  <si>
    <t>Saudijska Arabija</t>
  </si>
  <si>
    <t>Саудијска Арабија</t>
  </si>
  <si>
    <t>Saudsk� Ar�bie</t>
  </si>
  <si>
    <t>Saudsk� Ar�bia</t>
  </si>
  <si>
    <t>Savdska Arabija</t>
  </si>
  <si>
    <t>Arabia Saudite</t>
  </si>
  <si>
    <t>Саудовская Аравия</t>
  </si>
  <si>
    <t>Саудівська Аравія</t>
  </si>
  <si>
    <t>Suudi Arabistan</t>
  </si>
  <si>
    <t>Səudiyyə Ərəbistanı</t>
  </si>
  <si>
    <t>Ả Rập Xêut</t>
  </si>
  <si>
    <t>Arab Saudi</t>
  </si>
  <si>
    <t>Saudia</t>
  </si>
  <si>
    <t>Саудын Араб</t>
  </si>
  <si>
    <t>ซาอุดิอาระเบีย</t>
  </si>
  <si>
    <t>ސަޢޫދީ ޢަރަބިއްޔާ</t>
  </si>
  <si>
    <t>சவூதி அரேபியா</t>
  </si>
  <si>
    <t>ערב הסעודית</t>
  </si>
  <si>
    <t>المملكة العربية السعودية</t>
  </si>
  <si>
    <t>عربستان سعودی</t>
  </si>
  <si>
    <t>عه‌ره‌بستانی سعودی</t>
  </si>
  <si>
    <t>سعودی عرب</t>
  </si>
  <si>
    <t>沙地亞拉伯</t>
  </si>
  <si>
    <t>沙地亚拉伯</t>
  </si>
  <si>
    <t>サウジアラビア</t>
  </si>
  <si>
    <t>사우디아라비아</t>
  </si>
  <si>
    <t>W</t>
  </si>
  <si>
    <t>G</t>
  </si>
  <si>
    <t>PG</t>
  </si>
  <si>
    <t>V</t>
  </si>
  <si>
    <t>S</t>
  </si>
  <si>
    <t>Gw</t>
  </si>
  <si>
    <t>Ν</t>
  </si>
  <si>
    <t>Z</t>
  </si>
  <si>
    <t>П</t>
  </si>
  <si>
    <t>Gy</t>
  </si>
  <si>
    <t>Pobjeda</t>
  </si>
  <si>
    <t>В</t>
  </si>
  <si>
    <t>Q</t>
  </si>
  <si>
    <t>Thắng</t>
  </si>
  <si>
    <t>M</t>
  </si>
  <si>
    <t>Я</t>
  </si>
  <si>
    <t xml:space="preserve">މ </t>
  </si>
  <si>
    <t>வெ</t>
  </si>
  <si>
    <t>נקודות</t>
  </si>
  <si>
    <t>ف</t>
  </si>
  <si>
    <t>برد</t>
  </si>
  <si>
    <t>براوه‌</t>
  </si>
  <si>
    <t>ج</t>
  </si>
  <si>
    <t>勝</t>
  </si>
  <si>
    <t>胜</t>
  </si>
  <si>
    <t>승</t>
  </si>
  <si>
    <t>D</t>
  </si>
  <si>
    <t>U</t>
  </si>
  <si>
    <t>N</t>
  </si>
  <si>
    <t>PE</t>
  </si>
  <si>
    <t>E</t>
  </si>
  <si>
    <t>O</t>
  </si>
  <si>
    <t>Gl</t>
  </si>
  <si>
    <t>Ι</t>
  </si>
  <si>
    <t>Р</t>
  </si>
  <si>
    <t>Н</t>
  </si>
  <si>
    <t>B</t>
  </si>
  <si>
    <t>Nerješeno</t>
  </si>
  <si>
    <t>H</t>
  </si>
  <si>
    <t>Ho�</t>
  </si>
  <si>
    <t>Т</t>
  </si>
  <si>
    <t>އ</t>
  </si>
  <si>
    <t>சம</t>
  </si>
  <si>
    <t xml:space="preserve">נ </t>
  </si>
  <si>
    <t>ت</t>
  </si>
  <si>
    <t>تساوی</t>
  </si>
  <si>
    <t>یه‌کسان</t>
  </si>
  <si>
    <t>ڈ</t>
  </si>
  <si>
    <t>和</t>
  </si>
  <si>
    <t>分</t>
  </si>
  <si>
    <t>무</t>
  </si>
  <si>
    <t>L</t>
  </si>
  <si>
    <t>P</t>
  </si>
  <si>
    <t>PP</t>
  </si>
  <si>
    <t>T</t>
  </si>
  <si>
    <t>Η</t>
  </si>
  <si>
    <t>З</t>
  </si>
  <si>
    <t>И</t>
  </si>
  <si>
    <t>Poraz</t>
  </si>
  <si>
    <t>Thua</t>
  </si>
  <si>
    <t>K</t>
  </si>
  <si>
    <t>А</t>
  </si>
  <si>
    <t xml:space="preserve">ބ </t>
  </si>
  <si>
    <t>தோ</t>
  </si>
  <si>
    <t>ה</t>
  </si>
  <si>
    <t>خ</t>
  </si>
  <si>
    <t>باخت</t>
  </si>
  <si>
    <t>دۆڕاو</t>
  </si>
  <si>
    <t>ھ</t>
  </si>
  <si>
    <t>負</t>
  </si>
  <si>
    <t>负</t>
  </si>
  <si>
    <t>패</t>
  </si>
  <si>
    <t>F - A</t>
  </si>
  <si>
    <t>Torv.</t>
  </si>
  <si>
    <t>Bp - Bc</t>
  </si>
  <si>
    <t>Gf - Gv</t>
  </si>
  <si>
    <t>Gf - Gs</t>
  </si>
  <si>
    <t>Gp - Gc</t>
  </si>
  <si>
    <t>Mf - Mi</t>
  </si>
  <si>
    <t>G - I</t>
  </si>
  <si>
    <t>F - G</t>
  </si>
  <si>
    <t>Ms - Mi</t>
  </si>
  <si>
    <t>Υ - Κ</t>
  </si>
  <si>
    <t>Z - S</t>
  </si>
  <si>
    <t>В - Д</t>
  </si>
  <si>
    <t>G�lk�l.</t>
  </si>
  <si>
    <t>Д - П</t>
  </si>
  <si>
    <t>Sk�re</t>
  </si>
  <si>
    <t>Gol</t>
  </si>
  <si>
    <t>Dh - M</t>
  </si>
  <si>
    <t>Gol razlika</t>
  </si>
  <si>
    <t>З - П</t>
  </si>
  <si>
    <t>A - Y</t>
  </si>
  <si>
    <t>T - F</t>
  </si>
  <si>
    <t>Hiệu số</t>
  </si>
  <si>
    <t>Slsh gol</t>
  </si>
  <si>
    <t>Г - А</t>
  </si>
  <si>
    <t>ޖ-ވ</t>
  </si>
  <si>
    <t>அ-வா</t>
  </si>
  <si>
    <t>יחס שערים</t>
  </si>
  <si>
    <t>عليه - له</t>
  </si>
  <si>
    <t>خورده – زده</t>
  </si>
  <si>
    <t>لێکراو - کراوه‌</t>
  </si>
  <si>
    <t>ف - ا</t>
  </si>
  <si>
    <t>得 - 失</t>
  </si>
  <si>
    <t>골득실</t>
  </si>
  <si>
    <t>Pkt</t>
  </si>
  <si>
    <t>Pts</t>
  </si>
  <si>
    <t>Punti</t>
  </si>
  <si>
    <t>PT</t>
  </si>
  <si>
    <t>Punten</t>
  </si>
  <si>
    <t>Poeng</t>
  </si>
  <si>
    <t>Po�ng</t>
  </si>
  <si>
    <t>Poing</t>
  </si>
  <si>
    <t>Πόντοι</t>
  </si>
  <si>
    <t>Точки</t>
  </si>
  <si>
    <t>Pont</t>
  </si>
  <si>
    <t>Bodovi</t>
  </si>
  <si>
    <t>Бодови</t>
  </si>
  <si>
    <t>Body</t>
  </si>
  <si>
    <t>Točke</t>
  </si>
  <si>
    <t>Pct</t>
  </si>
  <si>
    <t>Pik�</t>
  </si>
  <si>
    <t>Bodova</t>
  </si>
  <si>
    <t>Очков</t>
  </si>
  <si>
    <t>Очків</t>
  </si>
  <si>
    <t>Puan</t>
  </si>
  <si>
    <t>Xal</t>
  </si>
  <si>
    <t>Điểm</t>
  </si>
  <si>
    <t>Pt</t>
  </si>
  <si>
    <t>Оноо</t>
  </si>
  <si>
    <t>ޕ</t>
  </si>
  <si>
    <t>புள்ளி</t>
  </si>
  <si>
    <t>נק'</t>
  </si>
  <si>
    <t>نقاط</t>
  </si>
  <si>
    <t>امتیاز</t>
  </si>
  <si>
    <t>خال</t>
  </si>
  <si>
    <t>پواینٹ</t>
  </si>
  <si>
    <t>積分</t>
  </si>
  <si>
    <t>积分</t>
  </si>
  <si>
    <t>勝点</t>
  </si>
  <si>
    <t>승점</t>
  </si>
  <si>
    <t>Group</t>
  </si>
  <si>
    <t>Gruppe</t>
  </si>
  <si>
    <t>Groupe</t>
  </si>
  <si>
    <t>Grupo</t>
  </si>
  <si>
    <t>Gruppo</t>
  </si>
  <si>
    <t>Groep</t>
  </si>
  <si>
    <t>Groppe</t>
  </si>
  <si>
    <t>Grupp</t>
  </si>
  <si>
    <t>Όμιλος</t>
  </si>
  <si>
    <t>Grupa</t>
  </si>
  <si>
    <t>Група</t>
  </si>
  <si>
    <t>Csoport</t>
  </si>
  <si>
    <t>Skupina</t>
  </si>
  <si>
    <t>Grupi</t>
  </si>
  <si>
    <t>Группа</t>
  </si>
  <si>
    <t>Grup</t>
  </si>
  <si>
    <t>Qrup</t>
  </si>
  <si>
    <t>Bảng</t>
  </si>
  <si>
    <t>Kundi</t>
  </si>
  <si>
    <t>Хэсэг</t>
  </si>
  <si>
    <t>กลุ่ม</t>
  </si>
  <si>
    <t>ގްރޫޕް</t>
  </si>
  <si>
    <t xml:space="preserve">பிரிவு </t>
  </si>
  <si>
    <t>בית</t>
  </si>
  <si>
    <t>المجموعة</t>
  </si>
  <si>
    <t>گروه</t>
  </si>
  <si>
    <t>گروپ</t>
  </si>
  <si>
    <t>小組</t>
  </si>
  <si>
    <t>小组</t>
  </si>
  <si>
    <t>グループ</t>
  </si>
  <si>
    <t>그룹</t>
  </si>
  <si>
    <t>First Round</t>
  </si>
  <si>
    <t>Gruppenspiele</t>
  </si>
  <si>
    <t>Premier Tour</t>
  </si>
  <si>
    <t>Primera Ronda</t>
  </si>
  <si>
    <t>Gironi Eliminatori</t>
  </si>
  <si>
    <t>Primeira Fase</t>
  </si>
  <si>
    <t>Eerste Ronde</t>
  </si>
  <si>
    <t>Gruppespill</t>
  </si>
  <si>
    <t>Erschti Rondi</t>
  </si>
  <si>
    <t>Gruppspel</t>
  </si>
  <si>
    <t>1. Tour</t>
  </si>
  <si>
    <t>F�rste Runde</t>
  </si>
  <si>
    <t>Πρώτος Γύρος</t>
  </si>
  <si>
    <t>Runda pierwsza</t>
  </si>
  <si>
    <t>Първи кръг</t>
  </si>
  <si>
    <t>Csoportk�r�k</t>
  </si>
  <si>
    <t>Prvi krug</t>
  </si>
  <si>
    <t>Први круг</t>
  </si>
  <si>
    <t>Prvn� kolo</t>
  </si>
  <si>
    <t>Prv� kolo</t>
  </si>
  <si>
    <t>Prvi krog</t>
  </si>
  <si>
    <t>Prima rundă</t>
  </si>
  <si>
    <t>Xhiroja e par�</t>
  </si>
  <si>
    <t>Первый круг</t>
  </si>
  <si>
    <t>Перше коло</t>
  </si>
  <si>
    <t>İlk Maçlar</t>
  </si>
  <si>
    <t>Birinci Mərhələ</t>
  </si>
  <si>
    <t>V�ng 1</t>
  </si>
  <si>
    <t>Putaran I</t>
  </si>
  <si>
    <t>Mzunguko wa Kwanza</t>
  </si>
  <si>
    <t>Эхний үе</t>
  </si>
  <si>
    <t>รอบแรก</t>
  </si>
  <si>
    <t>ފުރަތަމަ ބުރު</t>
  </si>
  <si>
    <t>முதல் சுற்று</t>
  </si>
  <si>
    <t>שלב ראשון</t>
  </si>
  <si>
    <t>الدور الأول</t>
  </si>
  <si>
    <t>مرحله اول</t>
  </si>
  <si>
    <t>خولی یه‌که‌م</t>
  </si>
  <si>
    <t>پہلا راونڈ</t>
  </si>
  <si>
    <t>1/16 決賽</t>
  </si>
  <si>
    <t>1/16 决赛</t>
  </si>
  <si>
    <t>グループリーグ</t>
  </si>
  <si>
    <t>1회전</t>
  </si>
  <si>
    <t>Second Round</t>
  </si>
  <si>
    <t>Achtelfinale</t>
  </si>
  <si>
    <t>Huiti�me de Finale</t>
  </si>
  <si>
    <t>Segunda Ronda</t>
  </si>
  <si>
    <t>Ottavi di Finale</t>
  </si>
  <si>
    <t>Oitavas de Final</t>
  </si>
  <si>
    <t>Tweede Ronde</t>
  </si>
  <si>
    <t>�ttendedelsfinaler</t>
  </si>
  <si>
    <t>Zw�iti Rondi</t>
  </si>
  <si>
    <t>�ttondelsfinal</t>
  </si>
  <si>
    <t>Aachtelsfinal</t>
  </si>
  <si>
    <t>Anden Runde</t>
  </si>
  <si>
    <t>Δεύτερος Γύρος</t>
  </si>
  <si>
    <t>Runda druga</t>
  </si>
  <si>
    <t>Осминафинали</t>
  </si>
  <si>
    <t>Nyolcaddöntők</t>
  </si>
  <si>
    <t>Drugi krug</t>
  </si>
  <si>
    <t>Други круг</t>
  </si>
  <si>
    <t>Druh� kolo</t>
  </si>
  <si>
    <t>Drugi krog</t>
  </si>
  <si>
    <t>A doua rundă</t>
  </si>
  <si>
    <t>Xhiroja e dyt�</t>
  </si>
  <si>
    <t>Одна-восьмая финала</t>
  </si>
  <si>
    <t>Одна восьма фіналу</t>
  </si>
  <si>
    <t>İkinci Maçlar</t>
  </si>
  <si>
    <t>İkinci Mərhələ</t>
  </si>
  <si>
    <t>V�ng 2</t>
  </si>
  <si>
    <t>Putaran II</t>
  </si>
  <si>
    <t>Mzunguko wa Pili</t>
  </si>
  <si>
    <t>Удаах үе</t>
  </si>
  <si>
    <t>รอบ 16 ทีม</t>
  </si>
  <si>
    <t>ދެވަނަ ބުރު</t>
  </si>
  <si>
    <t>இரண்டாவது சுற்று</t>
  </si>
  <si>
    <t>שלב שני</t>
  </si>
  <si>
    <t>الدور الثاني</t>
  </si>
  <si>
    <t>مرحله دوم</t>
  </si>
  <si>
    <t>خولی دووه‌م</t>
  </si>
  <si>
    <t>دوسرا راونڈ</t>
  </si>
  <si>
    <t>1/8 決賽</t>
  </si>
  <si>
    <t>1/8 决赛</t>
  </si>
  <si>
    <t>決勝トーナメント1回戦</t>
  </si>
  <si>
    <t>2회전</t>
  </si>
  <si>
    <t>Quarter Finals</t>
  </si>
  <si>
    <t>Viertelfinale</t>
  </si>
  <si>
    <t>Quart de Finale</t>
  </si>
  <si>
    <t>Cuartos de Final</t>
  </si>
  <si>
    <t>Quarti di Finale</t>
  </si>
  <si>
    <t>Quartas de Final</t>
  </si>
  <si>
    <t>Kwartfinales</t>
  </si>
  <si>
    <t>Kvartfinaler</t>
  </si>
  <si>
    <t>Viertufinal</t>
  </si>
  <si>
    <t>Kvartsfinal</t>
  </si>
  <si>
    <t>Veierelsfinal</t>
  </si>
  <si>
    <t>Προημιτελικά</t>
  </si>
  <si>
    <t>Ćwierćfinały</t>
  </si>
  <si>
    <t>Четвъртфинали</t>
  </si>
  <si>
    <t>Negyeddöntők</t>
  </si>
  <si>
    <t>Četvrtfinale</t>
  </si>
  <si>
    <t>Четвртфинале</t>
  </si>
  <si>
    <t>Čtvrtfinále</t>
  </si>
  <si>
    <t>Štvrťfinále</t>
  </si>
  <si>
    <t>Četrtfinale</t>
  </si>
  <si>
    <t>Sferturi de finală</t>
  </si>
  <si>
    <t>�erekfinalja</t>
  </si>
  <si>
    <t>Четвертьфиналы</t>
  </si>
  <si>
    <t>Чвертьфінал</t>
  </si>
  <si>
    <t>�eyrek Final</t>
  </si>
  <si>
    <t>Çərək Final</t>
  </si>
  <si>
    <t>Tứ kết</t>
  </si>
  <si>
    <t>Perempat Final</t>
  </si>
  <si>
    <t>Robo Fainali</t>
  </si>
  <si>
    <t>Шөвгийн найм</t>
  </si>
  <si>
    <t>รอบก่อนรองชนะเลิศ</t>
  </si>
  <si>
    <t>ކުއާޓަރ ފައިނަލް</t>
  </si>
  <si>
    <t>காலிறுதி ஆட்டம்</t>
  </si>
  <si>
    <t>רבע גמר</t>
  </si>
  <si>
    <t>ربع النهائي</t>
  </si>
  <si>
    <t>یک چهارم نهائی</t>
  </si>
  <si>
    <t>چواره‌کی کۆتایی</t>
  </si>
  <si>
    <t>کوارٹر فاینل</t>
  </si>
  <si>
    <t>1/4 決賽</t>
  </si>
  <si>
    <t>1/4 决赛</t>
  </si>
  <si>
    <t>準々決勝</t>
  </si>
  <si>
    <t>준준결승</t>
  </si>
  <si>
    <t>Semi Finals</t>
  </si>
  <si>
    <t>Halbfinale</t>
  </si>
  <si>
    <t>Demi-Finale</t>
  </si>
  <si>
    <t>Semifinales</t>
  </si>
  <si>
    <t>Semifinali</t>
  </si>
  <si>
    <t>Semifinais</t>
  </si>
  <si>
    <t>Halve Finales</t>
  </si>
  <si>
    <t>Semifinaler</t>
  </si>
  <si>
    <t>Haubfinal</t>
  </si>
  <si>
    <t>Semifinal</t>
  </si>
  <si>
    <t>Halleffinal</t>
  </si>
  <si>
    <t>Ημιτελικά</t>
  </si>
  <si>
    <t>Półfinały</t>
  </si>
  <si>
    <t>Полуфинали</t>
  </si>
  <si>
    <t>Elődöntők</t>
  </si>
  <si>
    <t>Polufinale</t>
  </si>
  <si>
    <t>Полуфинале</t>
  </si>
  <si>
    <t>Semifin�le</t>
  </si>
  <si>
    <t>Polfinale</t>
  </si>
  <si>
    <t>Semifinală</t>
  </si>
  <si>
    <t>Gjys�mfinalja</t>
  </si>
  <si>
    <t>Полуфиналы</t>
  </si>
  <si>
    <t>Напівфінал</t>
  </si>
  <si>
    <t>Yarı Final</t>
  </si>
  <si>
    <t>Yarım Final</t>
  </si>
  <si>
    <t>Bán kết</t>
  </si>
  <si>
    <t>Semi Final</t>
  </si>
  <si>
    <t>Nusu Fainali</t>
  </si>
  <si>
    <t>Хагас Шувтарга</t>
  </si>
  <si>
    <t>รอบรองชนะเลิศ</t>
  </si>
  <si>
    <t>ސެމީ ފައިނަލް</t>
  </si>
  <si>
    <t>அரையிறுதி ஆட்டம்</t>
  </si>
  <si>
    <t>חצי גמר</t>
  </si>
  <si>
    <t>نصف النهائي</t>
  </si>
  <si>
    <t>نیمه نهائی</t>
  </si>
  <si>
    <t>پێش کۆتایی</t>
  </si>
  <si>
    <t>سیمی فاینل</t>
  </si>
  <si>
    <t>半總決賽</t>
  </si>
  <si>
    <t>半总决赛</t>
  </si>
  <si>
    <t>準決勝</t>
  </si>
  <si>
    <t>준결승</t>
  </si>
  <si>
    <t>Third Place Play-Off</t>
  </si>
  <si>
    <t>Spiel um Platz 3</t>
  </si>
  <si>
    <t>Match pour la troisi�me place</t>
  </si>
  <si>
    <t>Tercer puesto</t>
  </si>
  <si>
    <t>Finale Terzo Posto</t>
  </si>
  <si>
    <t>3� Lugar</t>
  </si>
  <si>
    <t>Derde Plaats</t>
  </si>
  <si>
    <t>Bronsefinale</t>
  </si>
  <si>
    <t>Spel ome dretti Platz</t>
  </si>
  <si>
    <t>Bronsmatch</t>
  </si>
  <si>
    <t>Maetch em 3. Plaatz</t>
  </si>
  <si>
    <t>Playoff 3-4</t>
  </si>
  <si>
    <t>Μικρός Τελικός</t>
  </si>
  <si>
    <t>Mecz o trzecie miejsce</t>
  </si>
  <si>
    <t>Мач за третото място</t>
  </si>
  <si>
    <t>Bronzmeccs</t>
  </si>
  <si>
    <t>Za treće mjesto</t>
  </si>
  <si>
    <t>За треће место</t>
  </si>
  <si>
    <t>Zápas o třetí místo</t>
  </si>
  <si>
    <t>Z�pas o tretie miesto</t>
  </si>
  <si>
    <t>Za tretje mesto</t>
  </si>
  <si>
    <t>Finala mica</t>
  </si>
  <si>
    <t>Play-Off p�r vendin e tret�</t>
  </si>
  <si>
    <t>Utakmica za treće mjesto</t>
  </si>
  <si>
    <t>Матч за третье место</t>
  </si>
  <si>
    <t>Гра за третє місце</t>
  </si>
  <si>
    <t>Üçüncülük Maçı</t>
  </si>
  <si>
    <t>Üçüncü Yer Uğrunda Oyun</t>
  </si>
  <si>
    <t>Tranh hạng 3</t>
  </si>
  <si>
    <t>Tempat ke-tiga</t>
  </si>
  <si>
    <t>Kuwiania Nafasi ya Tatu</t>
  </si>
  <si>
    <t>Хүрэл медалийн төлөөх тоглолт</t>
  </si>
  <si>
    <t>นัดชิงอันดับ 3</t>
  </si>
  <si>
    <t>ތިންވަނަހޮވާ</t>
  </si>
  <si>
    <t>மூன்றாமிட ஆட்டம்</t>
  </si>
  <si>
    <t>מקום שלישי פלייאוף</t>
  </si>
  <si>
    <t>تحديد المركز الثالث</t>
  </si>
  <si>
    <t>بازی رده بندی</t>
  </si>
  <si>
    <t>دیاری کردنی پله‌ی سێیه‌م</t>
  </si>
  <si>
    <t>تیسری پوزیشن کا میچ</t>
  </si>
  <si>
    <t>季軍戰</t>
  </si>
  <si>
    <t>季军战</t>
  </si>
  <si>
    <t>３位決定戦</t>
  </si>
  <si>
    <t>3,4위전</t>
  </si>
  <si>
    <t>Final</t>
  </si>
  <si>
    <t>Finale</t>
  </si>
  <si>
    <t>Τελικός</t>
  </si>
  <si>
    <t>Finał</t>
  </si>
  <si>
    <t>Финал</t>
  </si>
  <si>
    <t>Döntő</t>
  </si>
  <si>
    <t>Финале</t>
  </si>
  <si>
    <t>Fin�le</t>
  </si>
  <si>
    <t>Finala</t>
  </si>
  <si>
    <t>Finalja</t>
  </si>
  <si>
    <t>Фінал</t>
  </si>
  <si>
    <t>Chung kết</t>
  </si>
  <si>
    <t>Fainali</t>
  </si>
  <si>
    <t>Үзүүр, түрүү</t>
  </si>
  <si>
    <t>รอบชิงชนะเลิศ</t>
  </si>
  <si>
    <t>ފައިނަލް</t>
  </si>
  <si>
    <t>இறுதி ஆட்டம்</t>
  </si>
  <si>
    <t>גמר</t>
  </si>
  <si>
    <t>الدور النهائي</t>
  </si>
  <si>
    <t>پایانی</t>
  </si>
  <si>
    <t>کۆتایی</t>
  </si>
  <si>
    <t>فاینل</t>
  </si>
  <si>
    <t>冠軍戰</t>
  </si>
  <si>
    <t>冠军战</t>
  </si>
  <si>
    <t>決勝</t>
  </si>
  <si>
    <t>결승전</t>
  </si>
  <si>
    <t>World Champion 2006</t>
  </si>
  <si>
    <t>Weltmeister 2006</t>
  </si>
  <si>
    <t>Champion du Monde 2006</t>
  </si>
  <si>
    <t>Campe�n 2006</t>
  </si>
  <si>
    <t>Campione del Mondo</t>
  </si>
  <si>
    <t>Campe�o Mundial</t>
  </si>
  <si>
    <t>Wereldkampioen</t>
  </si>
  <si>
    <t>Verdensmester 2006</t>
  </si>
  <si>
    <t>W�utm�ischter 2006</t>
  </si>
  <si>
    <t>V�rldsm�stare 2006</t>
  </si>
  <si>
    <t>Weltmeeschter 2006</t>
  </si>
  <si>
    <t>Παγκόσμιος Πρωταθλητής 2006</t>
  </si>
  <si>
    <t>Mistrz Świata</t>
  </si>
  <si>
    <t>Световен шампион 2006</t>
  </si>
  <si>
    <t>A labdarúgó-VB győztes csapata:</t>
  </si>
  <si>
    <t>Svjetsko prvenstvo 2006</t>
  </si>
  <si>
    <t>Светски првак 2006</t>
  </si>
  <si>
    <t>Mistr světa 2006</t>
  </si>
  <si>
    <t>Majster sveta 2006</t>
  </si>
  <si>
    <t>Svetovno prvenstvo 2006</t>
  </si>
  <si>
    <t>Campioană mondială 2006</t>
  </si>
  <si>
    <t>Kampioni Bot�ror 2006</t>
  </si>
  <si>
    <t>Svjetski prvak 2006</t>
  </si>
  <si>
    <t>Чемпион мира 2006</t>
  </si>
  <si>
    <t>Чемпіон світу 2006</t>
  </si>
  <si>
    <t>2006 Dünya Şampiyonu</t>
  </si>
  <si>
    <t>D�nya �empionu 2006</t>
  </si>
  <si>
    <t>Đội vô địch World Cup 2006</t>
  </si>
  <si>
    <t>Juara Dunia 2006</t>
  </si>
  <si>
    <t>Mshindi wa Dunia 2006</t>
  </si>
  <si>
    <t>2006 оны Дэлхийн Цомын эзэн</t>
  </si>
  <si>
    <t>แชมเปี้ยนฟุตบอลโลกปี 2006</t>
  </si>
  <si>
    <t>ދުނިޔޭގެ ޗެމްޕިއަން 2006</t>
  </si>
  <si>
    <t>உலக சாம்பியன் 2006</t>
  </si>
  <si>
    <t>אלופת העולם 2006</t>
  </si>
  <si>
    <t>بطل العالم</t>
  </si>
  <si>
    <t>قهرمان جهان 2006</t>
  </si>
  <si>
    <t>جامی جیهانی 2006</t>
  </si>
  <si>
    <t>عالمی چمپین 2006</t>
  </si>
  <si>
    <t>2006世界杯 冠軍</t>
  </si>
  <si>
    <t>2006世界杯 冠军</t>
  </si>
  <si>
    <t>２００６年ワールドカップ優勝</t>
  </si>
  <si>
    <t>2006년 우승국가</t>
  </si>
  <si>
    <t>Group A Winner</t>
  </si>
  <si>
    <t>Sieger Gruppe A</t>
  </si>
  <si>
    <t>Premier du Groupe A</t>
  </si>
  <si>
    <t>Primero del Grupo A</t>
  </si>
  <si>
    <t>Prima Gruppo A</t>
  </si>
  <si>
    <t>Grupo A Ganhador</t>
  </si>
  <si>
    <t>Groep A Winnaar</t>
  </si>
  <si>
    <t>Gruppe A Vinner</t>
  </si>
  <si>
    <t>Gw�nner Groppe A</t>
  </si>
  <si>
    <t>Grupp A 1:a plats</t>
  </si>
  <si>
    <t>Eischten Grupp A</t>
  </si>
  <si>
    <t>Gruppe A Vinder</t>
  </si>
  <si>
    <t>Πρώτος A ομίλου</t>
  </si>
  <si>
    <t>Zwycięzca Grupy A</t>
  </si>
  <si>
    <t>Победител група A</t>
  </si>
  <si>
    <t>A csoport győztese</t>
  </si>
  <si>
    <t>Grupa A Pobjednik</t>
  </si>
  <si>
    <t>Група А Победник</t>
  </si>
  <si>
    <t>Skupina A Vítěz</t>
  </si>
  <si>
    <t>Skupina A Víťaz</t>
  </si>
  <si>
    <t>Skupina A Zmagovalec</t>
  </si>
  <si>
    <t>Câştigătoare Grupa A</t>
  </si>
  <si>
    <t>Fituesi i Grupit A</t>
  </si>
  <si>
    <t>Grupa A pobjednik</t>
  </si>
  <si>
    <t>Победитель группы A</t>
  </si>
  <si>
    <t>Переможець групи A</t>
  </si>
  <si>
    <t>A Grubu Lideri</t>
  </si>
  <si>
    <t>A Qrupu Qalibi</t>
  </si>
  <si>
    <t>Nhất bảng A</t>
  </si>
  <si>
    <t>Pemenang Grup A</t>
  </si>
  <si>
    <t>Kundi A - Mshindi</t>
  </si>
  <si>
    <t>А хэсгийн түрүү</t>
  </si>
  <si>
    <t>ผู้ชนะกลุ่ม A</t>
  </si>
  <si>
    <t>ގްރޫޕް އޭ އިން އެއްވަނަ</t>
  </si>
  <si>
    <t>பிரிவு A வெற்றி அணி</t>
  </si>
  <si>
    <t>מנצח בית A</t>
  </si>
  <si>
    <t xml:space="preserve">أول المجموعة A </t>
  </si>
  <si>
    <t>برنده گروه A</t>
  </si>
  <si>
    <t>براوه‌ی گروپی A</t>
  </si>
  <si>
    <t>گروپ A فاتح</t>
  </si>
  <si>
    <t xml:space="preserve">A組首名 </t>
  </si>
  <si>
    <t xml:space="preserve">A组首名 </t>
  </si>
  <si>
    <t>グループA １位</t>
  </si>
  <si>
    <t>A 그룹 1등</t>
  </si>
  <si>
    <t>Group A Second place</t>
  </si>
  <si>
    <t>Zweiter Gruppe A</t>
  </si>
  <si>
    <t>Deuxi�me du Groupe A</t>
  </si>
  <si>
    <t>Segundo del Grupo A</t>
  </si>
  <si>
    <t>Seconda Gruppo A</t>
  </si>
  <si>
    <t>Grupo A 2� colocado</t>
  </si>
  <si>
    <t>Groep A Tweede Plaats</t>
  </si>
  <si>
    <t>Gruppe A Andre plass</t>
  </si>
  <si>
    <t>Zw�ite Groppe A</t>
  </si>
  <si>
    <t>Grupp A 2:a plats</t>
  </si>
  <si>
    <t>Zweeten Grupp A</t>
  </si>
  <si>
    <t>Gruppe A Andenplads</t>
  </si>
  <si>
    <t>Δεύτερος A ομίλου</t>
  </si>
  <si>
    <t>II-miejsce Grupy A</t>
  </si>
  <si>
    <t>Втори група A</t>
  </si>
  <si>
    <t>A csoport 2. helyezettje</t>
  </si>
  <si>
    <t>Grupa A Drugo mjesto</t>
  </si>
  <si>
    <t>Група А Друго место</t>
  </si>
  <si>
    <t>Skupina A Druh� m�sto</t>
  </si>
  <si>
    <t>Skupina A Druh� miesto</t>
  </si>
  <si>
    <t>Skupina A Drugo mesto</t>
  </si>
  <si>
    <t>Locul 2 Grupa A</t>
  </si>
  <si>
    <t>Vendi i dyt� i Grupit A</t>
  </si>
  <si>
    <t>Grupa A drugo mjesto</t>
  </si>
  <si>
    <t>Второе место в группе A</t>
  </si>
  <si>
    <t>Друге місце групи A</t>
  </si>
  <si>
    <t>A Grubu İkincisi</t>
  </si>
  <si>
    <t>A Qrupu Ikincisi</t>
  </si>
  <si>
    <t>Nhì bảng A</t>
  </si>
  <si>
    <t>Runer up Grup A</t>
  </si>
  <si>
    <t>Kundi A - Nafasi ya Pili</t>
  </si>
  <si>
    <t>A хэсгийн үзүүр</t>
  </si>
  <si>
    <t>อันดับ 2 กลุ่ม A</t>
  </si>
  <si>
    <t>ގްރޫޕް އޭ އިން ދެވަނަ</t>
  </si>
  <si>
    <t>பிரிவு A இரண்டாமிடம்</t>
  </si>
  <si>
    <t>מקום שני בית A</t>
  </si>
  <si>
    <t xml:space="preserve">ثاني المجموعة A </t>
  </si>
  <si>
    <t>دوم گروه A</t>
  </si>
  <si>
    <t>دووه‌می گروپی A</t>
  </si>
  <si>
    <t>گروپ A دوسری پوزیشن</t>
  </si>
  <si>
    <t>A組次名</t>
  </si>
  <si>
    <t>A组次名</t>
  </si>
  <si>
    <t>グループA ２位</t>
  </si>
  <si>
    <t>A 그룹 2등</t>
  </si>
  <si>
    <t>Group B Winner</t>
  </si>
  <si>
    <t>Sieger Gruppe B</t>
  </si>
  <si>
    <t>Premier du Groupe B</t>
  </si>
  <si>
    <t>Primero del Grupo B</t>
  </si>
  <si>
    <t>Prima Gruppo B</t>
  </si>
  <si>
    <t>Grupo B Ganhador</t>
  </si>
  <si>
    <t>Groep B Winnaar</t>
  </si>
  <si>
    <t>Gruppe B Vinner</t>
  </si>
  <si>
    <t>Gw�nner Groppe B</t>
  </si>
  <si>
    <t>Grupp B 1:a plats</t>
  </si>
  <si>
    <t>Eischten Grupp B</t>
  </si>
  <si>
    <t>Gruppe B Vinder</t>
  </si>
  <si>
    <t>Πρώτος B ομίλου</t>
  </si>
  <si>
    <t>Zwycięzca Grupy B</t>
  </si>
  <si>
    <t>Победител група B</t>
  </si>
  <si>
    <t>B csoport győztese</t>
  </si>
  <si>
    <t>Grupa B Pobjednik</t>
  </si>
  <si>
    <t>Група Б Победник</t>
  </si>
  <si>
    <t>Skupina B Vítěz</t>
  </si>
  <si>
    <t>Skupina B Víťaz</t>
  </si>
  <si>
    <t>Skupina B Zmagovalec</t>
  </si>
  <si>
    <t>Câştigătoare Grupa B</t>
  </si>
  <si>
    <t>Fituesi i Grupit B</t>
  </si>
  <si>
    <t>Grupa B pobjednik</t>
  </si>
  <si>
    <t>Победитель группы B</t>
  </si>
  <si>
    <t>Переможець групи B</t>
  </si>
  <si>
    <t>B Grubu Lideri</t>
  </si>
  <si>
    <t>B Qrupu Qalibi</t>
  </si>
  <si>
    <t>Nhất bảng B</t>
  </si>
  <si>
    <t>Pemenang Grup B</t>
  </si>
  <si>
    <t>Kundi B - Mshindi</t>
  </si>
  <si>
    <t>B хэсгийн түрүү</t>
  </si>
  <si>
    <t>ผู้ชนะกลุ่ม B</t>
  </si>
  <si>
    <t>ގްރޫޕް ބީ އިން އެއްވަނަ</t>
  </si>
  <si>
    <t>பிரிவு B வெற்றி அணி</t>
  </si>
  <si>
    <t>מנצח בית B</t>
  </si>
  <si>
    <t xml:space="preserve">أول المجموعة B </t>
  </si>
  <si>
    <t>برنده گروه B</t>
  </si>
  <si>
    <t>براوه‌ی گروپی B</t>
  </si>
  <si>
    <t>گروپ B فاتح</t>
  </si>
  <si>
    <t xml:space="preserve">B組首名 </t>
  </si>
  <si>
    <t xml:space="preserve">B组首名 </t>
  </si>
  <si>
    <t>グループB １位</t>
  </si>
  <si>
    <t>B 그룹 1등</t>
  </si>
  <si>
    <t>Group B Second place</t>
  </si>
  <si>
    <t>Zweiter Gruppe B</t>
  </si>
  <si>
    <t>Deuxi�me du Groupe B</t>
  </si>
  <si>
    <t>Segundo del Grupo B</t>
  </si>
  <si>
    <t>Seconda Gruppo B</t>
  </si>
  <si>
    <t>Grupo B 2� colocado</t>
  </si>
  <si>
    <t>Groep B Tweede Plaats</t>
  </si>
  <si>
    <t>Gruppe B Andre plass</t>
  </si>
  <si>
    <t>Zw�ite Groppe B</t>
  </si>
  <si>
    <t>Grupp B 2:a plats</t>
  </si>
  <si>
    <t>Zweeten Grupp B</t>
  </si>
  <si>
    <t>Gruppe B Andenplads</t>
  </si>
  <si>
    <t>Δεύτερος B ομίλου</t>
  </si>
  <si>
    <t>II-miejsce Grupy B</t>
  </si>
  <si>
    <t>Втори група B</t>
  </si>
  <si>
    <t>B csoport 2. helyezettje</t>
  </si>
  <si>
    <t>Grupa B Drugo mjesto</t>
  </si>
  <si>
    <t>Група Б Друго место</t>
  </si>
  <si>
    <t>Skupina B Druh� m�sto</t>
  </si>
  <si>
    <t>Skupina B Druh� miesto</t>
  </si>
  <si>
    <t>Skupina B Drugo mesto</t>
  </si>
  <si>
    <t>Locul 2 Grupa B</t>
  </si>
  <si>
    <t>Vendi i dyt� i Grupit B</t>
  </si>
  <si>
    <t>Grupa B drugo mjesto</t>
  </si>
  <si>
    <t>Второе место в группе B</t>
  </si>
  <si>
    <t>Друге місце групи B</t>
  </si>
  <si>
    <t>B Grubu İkincisi</t>
  </si>
  <si>
    <t>B Qrupu Ikincisi</t>
  </si>
  <si>
    <t>Nhì bảng B</t>
  </si>
  <si>
    <t>Runer up Grup B</t>
  </si>
  <si>
    <t>Kundi B - Nafasi ya Pili</t>
  </si>
  <si>
    <t>B хэсгийн үзүүр</t>
  </si>
  <si>
    <t>อันดับ 2 กลุ่ม B</t>
  </si>
  <si>
    <t>ގްރޫޕް ބީ އިން ދެވަނަ</t>
  </si>
  <si>
    <t>பிரிவு B இரண்டாமிடம்</t>
  </si>
  <si>
    <t>מקום שני בית B</t>
  </si>
  <si>
    <t>ثاني المجموعة B</t>
  </si>
  <si>
    <t>دوم گروه B</t>
  </si>
  <si>
    <t>دووه‌می گروپی  B</t>
  </si>
  <si>
    <t>گروپ B دوسری پوزیشن</t>
  </si>
  <si>
    <t>B組次名</t>
  </si>
  <si>
    <t>B组次名</t>
  </si>
  <si>
    <t>グループB ２位</t>
  </si>
  <si>
    <t>B 그룹 2등</t>
  </si>
  <si>
    <t>Group C Winner</t>
  </si>
  <si>
    <t>Sieger Gruppe C</t>
  </si>
  <si>
    <t>Premier du Groupe C</t>
  </si>
  <si>
    <t>Primero del Grupo C</t>
  </si>
  <si>
    <t>Prima Gruppo C</t>
  </si>
  <si>
    <t>Grupo C Ganhador</t>
  </si>
  <si>
    <t>Groep C Winnaar</t>
  </si>
  <si>
    <t>Gruppe C Vinner</t>
  </si>
  <si>
    <t>Gw�nner Groppe C</t>
  </si>
  <si>
    <t>Grupp C 1:a plats</t>
  </si>
  <si>
    <t>Eischten Grupp C</t>
  </si>
  <si>
    <t>Gruppe C Vinder</t>
  </si>
  <si>
    <t>Πρώτος C ομίλου</t>
  </si>
  <si>
    <t>Zwycięzca Grupy C</t>
  </si>
  <si>
    <t>Победител група C</t>
  </si>
  <si>
    <t>C csoport győztese</t>
  </si>
  <si>
    <t>Grupa C Pobjednik</t>
  </si>
  <si>
    <t>Група Ц Победник</t>
  </si>
  <si>
    <t>Skupina C Vítěz</t>
  </si>
  <si>
    <t>Skupina C Víťaz</t>
  </si>
  <si>
    <t>Skupina C Zmagovalec</t>
  </si>
  <si>
    <t>Câştigătoare Grupa C</t>
  </si>
  <si>
    <t>Fituesi i Grupit C</t>
  </si>
  <si>
    <t>Grupa C pobjednik</t>
  </si>
  <si>
    <t>Победитель группы C</t>
  </si>
  <si>
    <t>Переможець групи C</t>
  </si>
  <si>
    <t>C Grubu Lideri</t>
  </si>
  <si>
    <t>C Qrupu Qalibi</t>
  </si>
  <si>
    <t>Nhất bảng C</t>
  </si>
  <si>
    <t>Pemenang Grup C</t>
  </si>
  <si>
    <t>Kundi C - Mshindi</t>
  </si>
  <si>
    <t>C хэсгийн түрүү</t>
  </si>
  <si>
    <t>ผู้ชนะกลุ่ม C</t>
  </si>
  <si>
    <t>ގްރޫޕް ސީ އިން އެއްވަނަ</t>
  </si>
  <si>
    <t>பிரிவு C வெற்றி அணி</t>
  </si>
  <si>
    <t>מנצח בית C</t>
  </si>
  <si>
    <t>أول المجموعة C</t>
  </si>
  <si>
    <t>برنده گروه C</t>
  </si>
  <si>
    <t>براوه‌ی گروپی C</t>
  </si>
  <si>
    <t>گروپ C فاتح</t>
  </si>
  <si>
    <t xml:space="preserve">C組首名 </t>
  </si>
  <si>
    <t xml:space="preserve">C组首名 </t>
  </si>
  <si>
    <t>グループC １位</t>
  </si>
  <si>
    <t>C 그룹 1등</t>
  </si>
  <si>
    <t>Group C Second place</t>
  </si>
  <si>
    <t>Zweiter Gruppe C</t>
  </si>
  <si>
    <t>Deuxi�me du Groupe C</t>
  </si>
  <si>
    <t>Segundo del Grupo C</t>
  </si>
  <si>
    <t>Seconda Gruppo C</t>
  </si>
  <si>
    <t>Grupo C 2� colocado</t>
  </si>
  <si>
    <t>Groep C Tweede Plaats</t>
  </si>
  <si>
    <t>Gruppe C Andre plass</t>
  </si>
  <si>
    <t>Zw�ite Groppe C</t>
  </si>
  <si>
    <t>Grupp C 2:a plats</t>
  </si>
  <si>
    <t>Zweeten Grupp C</t>
  </si>
  <si>
    <t>Gruppe C Andenplads</t>
  </si>
  <si>
    <t>Δεύτερος C ομίλου</t>
  </si>
  <si>
    <t>II-miejsce Grupy C</t>
  </si>
  <si>
    <t>Втори група C</t>
  </si>
  <si>
    <t>C csoport 2. helyezettje</t>
  </si>
  <si>
    <t>Grupa C Drugo mjesto</t>
  </si>
  <si>
    <t>Група Ц Друго место</t>
  </si>
  <si>
    <t>Skupina C Druh� m�sto</t>
  </si>
  <si>
    <t>Skupina C Druh� miesto</t>
  </si>
  <si>
    <t>Skupina C Drugo mesto</t>
  </si>
  <si>
    <t>Locul 2 Grupa C</t>
  </si>
  <si>
    <t>Vendi i dyt� i Grupit C</t>
  </si>
  <si>
    <t>Grupa C drugo mjesto</t>
  </si>
  <si>
    <t>Второе место в группе C</t>
  </si>
  <si>
    <t>Друге місце групи C</t>
  </si>
  <si>
    <t>C Grubu İkincisi</t>
  </si>
  <si>
    <t>C Qrupu Ikincisi</t>
  </si>
  <si>
    <t>Nhì bảng C</t>
  </si>
  <si>
    <t>Runer up Grup C</t>
  </si>
  <si>
    <t>Kundi C - Nafasi ya Pili</t>
  </si>
  <si>
    <t>C хэсгийн үзүүр</t>
  </si>
  <si>
    <t>อันดับ 2 กลุ่ม C</t>
  </si>
  <si>
    <t>ގްރޫޕް ސީ އިން ދެވަނަ</t>
  </si>
  <si>
    <t>பிரிவு C இரண்டாமிடம்</t>
  </si>
  <si>
    <t>מקום שני בית C</t>
  </si>
  <si>
    <t>ثاني المجموعة C</t>
  </si>
  <si>
    <t>دوم گروه C</t>
  </si>
  <si>
    <t>دووه‌می گروپی C</t>
  </si>
  <si>
    <t>گروپ C دوسری پوزیشن</t>
  </si>
  <si>
    <t>C組次名</t>
  </si>
  <si>
    <t>C组次名</t>
  </si>
  <si>
    <t>グループC ２位</t>
  </si>
  <si>
    <t>C 그룹 2등</t>
  </si>
  <si>
    <t>Group D Winner</t>
  </si>
  <si>
    <t>Sieger Gruppe D</t>
  </si>
  <si>
    <t>Premier du Groupe D</t>
  </si>
  <si>
    <t>Primero del Grupo D</t>
  </si>
  <si>
    <t>Prima Gruppo D</t>
  </si>
  <si>
    <t>Grupo D Ganhador</t>
  </si>
  <si>
    <t>Groep D Winnaar</t>
  </si>
  <si>
    <t>Gruppe D Vinner</t>
  </si>
  <si>
    <t>Gw�nner Groppe D</t>
  </si>
  <si>
    <t>Grupp D 1:a plats</t>
  </si>
  <si>
    <t>Eischten Grupp D</t>
  </si>
  <si>
    <t>Gruppe D Vinder</t>
  </si>
  <si>
    <t>Πρώτος D ομίλου</t>
  </si>
  <si>
    <t>Zwycięzca Grupy D</t>
  </si>
  <si>
    <t>Победител група D</t>
  </si>
  <si>
    <t>D csoport győztese</t>
  </si>
  <si>
    <t>Grupa D Pobjednik</t>
  </si>
  <si>
    <t>Група Д Победник</t>
  </si>
  <si>
    <t>Skupina D Vítěz</t>
  </si>
  <si>
    <t>Skupina D Víťaz</t>
  </si>
  <si>
    <t>Skupina D Zmagovalec</t>
  </si>
  <si>
    <t>Câştigătoare Grupa D</t>
  </si>
  <si>
    <t>Fituesi i Grupit D</t>
  </si>
  <si>
    <t>Grupa D pobjednik</t>
  </si>
  <si>
    <t>Победитель группы D</t>
  </si>
  <si>
    <t>Переможець групи D</t>
  </si>
  <si>
    <t>D Grubu Lideri</t>
  </si>
  <si>
    <t>D Qrupu Qalibi</t>
  </si>
  <si>
    <t>Nhất bảng D</t>
  </si>
  <si>
    <t>Pemenang Grup D</t>
  </si>
  <si>
    <t>Kundi D - Mshindi</t>
  </si>
  <si>
    <t>D хэсгийн түрүү</t>
  </si>
  <si>
    <t>ผู้ชนะกลุ่ม D</t>
  </si>
  <si>
    <t>ގްރޫޕް ޑީ އިން އެއްވަނަ</t>
  </si>
  <si>
    <t>பிரிவு D வெற்றி அணி</t>
  </si>
  <si>
    <t>מנצח בית D</t>
  </si>
  <si>
    <t>أول المجموعة D</t>
  </si>
  <si>
    <t>برنده گروه D</t>
  </si>
  <si>
    <t>براوه‌ی گروپی D</t>
  </si>
  <si>
    <t>گروپ D فاتح</t>
  </si>
  <si>
    <t xml:space="preserve">D組首名 </t>
  </si>
  <si>
    <t xml:space="preserve">D组首名 </t>
  </si>
  <si>
    <t>グループD １位</t>
  </si>
  <si>
    <t>D 그룹 1등</t>
  </si>
  <si>
    <t>Group D Second place</t>
  </si>
  <si>
    <t>Zweiter Gruppe D</t>
  </si>
  <si>
    <t>Deuxi�me du Groupe D</t>
  </si>
  <si>
    <t>Segundo del Grupo D</t>
  </si>
  <si>
    <t>Seconda Gruppo D</t>
  </si>
  <si>
    <t>Grupo D 2� colocado</t>
  </si>
  <si>
    <t>Groep D Tweede Plaats</t>
  </si>
  <si>
    <t>Gruppe D Andre plass</t>
  </si>
  <si>
    <t>Zw�ite Groppe D</t>
  </si>
  <si>
    <t>Grupp D 2:a plats</t>
  </si>
  <si>
    <t>Zweeten Grupp D</t>
  </si>
  <si>
    <t>Gruppe D Andenplads</t>
  </si>
  <si>
    <t>Δεύτερος D ομίλου</t>
  </si>
  <si>
    <t>II-miejsce Grupy D</t>
  </si>
  <si>
    <t>Втори група D</t>
  </si>
  <si>
    <t>D csoport 2. helyezettje</t>
  </si>
  <si>
    <t>Grupa D Drugo mjesto</t>
  </si>
  <si>
    <t>Група Д Друго место</t>
  </si>
  <si>
    <t>Skupina D Druh� m�sto</t>
  </si>
  <si>
    <t>Skupina D Druh� miesto</t>
  </si>
  <si>
    <t>Skupina D Drugo mesto</t>
  </si>
  <si>
    <t>Locul 2 Grupa D</t>
  </si>
  <si>
    <t>Vendi i dyt� i Grupit D</t>
  </si>
  <si>
    <t>Grupa D drugo mjesto</t>
  </si>
  <si>
    <t>Второе место в группе D</t>
  </si>
  <si>
    <t>Друге місце групи D</t>
  </si>
  <si>
    <t>D Grubu İkincisi</t>
  </si>
  <si>
    <t>D Qrupu Ikincisi</t>
  </si>
  <si>
    <t>Nhì bảng D</t>
  </si>
  <si>
    <t>Runer up Grup D</t>
  </si>
  <si>
    <t>Kundi D - Nafasi ya Pili</t>
  </si>
  <si>
    <t>D хэсгийн үзүүр</t>
  </si>
  <si>
    <t>อันดับ 2 กลุ่ม D</t>
  </si>
  <si>
    <t>ގްރޫޕް ޑީ އިން ދެވަނަ</t>
  </si>
  <si>
    <t>பிரிவு D இரண்டாமிடம்</t>
  </si>
  <si>
    <t>מקום שני בית D</t>
  </si>
  <si>
    <t>ثاني المجموعة D</t>
  </si>
  <si>
    <t>دوم گروه D</t>
  </si>
  <si>
    <t>دووه‌می گروپی D</t>
  </si>
  <si>
    <t>گروپ D دوسری پوزیشن</t>
  </si>
  <si>
    <t>D組次名</t>
  </si>
  <si>
    <t>D组次名</t>
  </si>
  <si>
    <t>グループD ２位</t>
  </si>
  <si>
    <t>D 그룹 2등</t>
  </si>
  <si>
    <t>Group E Winner</t>
  </si>
  <si>
    <t>Sieger Gruppe E</t>
  </si>
  <si>
    <t>Premier du Groupe E</t>
  </si>
  <si>
    <t>Primero del Grupo E</t>
  </si>
  <si>
    <t>Prima Gruppo E</t>
  </si>
  <si>
    <t>Grupo E Ganhador</t>
  </si>
  <si>
    <t>Groep E Winnaar</t>
  </si>
  <si>
    <t>Gruppe E Vinner</t>
  </si>
  <si>
    <t>Gw�nner Groppe E</t>
  </si>
  <si>
    <t>Grupp E 1:a plats</t>
  </si>
  <si>
    <t>Eischten Grupp E</t>
  </si>
  <si>
    <t>Gruppe E Vinder</t>
  </si>
  <si>
    <t>Πρώτος E ομίλου</t>
  </si>
  <si>
    <t>Zwycięzca Grupy E</t>
  </si>
  <si>
    <t>Победител група E</t>
  </si>
  <si>
    <t>E csoport győztese</t>
  </si>
  <si>
    <t>Grupa E Pobjednik</t>
  </si>
  <si>
    <t>Група Е Победник</t>
  </si>
  <si>
    <t>Skupina E Vítěz</t>
  </si>
  <si>
    <t>Skupina E Víťaz</t>
  </si>
  <si>
    <t>Skupina E Zmagovalec</t>
  </si>
  <si>
    <t>Câştigătoare Grupa E</t>
  </si>
  <si>
    <t>Fituesi i Grupit E</t>
  </si>
  <si>
    <t>Grupa E pobjednik</t>
  </si>
  <si>
    <t>Победитель группы E</t>
  </si>
  <si>
    <t>Переможець групи E</t>
  </si>
  <si>
    <t>E Grubu Lideri</t>
  </si>
  <si>
    <t>E Qrupu Qalibi</t>
  </si>
  <si>
    <t>Nhất bảng E</t>
  </si>
  <si>
    <t>Pemenang Grup E</t>
  </si>
  <si>
    <t>Kundi E - Mshindi</t>
  </si>
  <si>
    <t>E хэсгийн түрүү</t>
  </si>
  <si>
    <t>ผู้ชนะกลุ่ม E</t>
  </si>
  <si>
    <t>ގްރޫޕް އީ އިން އެއްވަނަ</t>
  </si>
  <si>
    <t>பிரிவு E வெற்றி அணி</t>
  </si>
  <si>
    <t>מנצח בית E</t>
  </si>
  <si>
    <t>أول المجموعة E</t>
  </si>
  <si>
    <t>برنده گروه E</t>
  </si>
  <si>
    <t>براوه‌ی گروپی E</t>
  </si>
  <si>
    <t>گروپ E فاتح</t>
  </si>
  <si>
    <t xml:space="preserve">E組首名 </t>
  </si>
  <si>
    <t xml:space="preserve">E组首名 </t>
  </si>
  <si>
    <t>グループE １位</t>
  </si>
  <si>
    <t>E 그룹 1등</t>
  </si>
  <si>
    <t>Group E Second place</t>
  </si>
  <si>
    <t>Zweiter Gruppe E</t>
  </si>
  <si>
    <t>Deuxi�me du Groupe E</t>
  </si>
  <si>
    <t>Segundo del Grupo E</t>
  </si>
  <si>
    <t>Seconda Gruppo E</t>
  </si>
  <si>
    <t>Grupo E 2� colocado</t>
  </si>
  <si>
    <t>Groep E Tweede Plaats</t>
  </si>
  <si>
    <t>Gruppe E Andre plass</t>
  </si>
  <si>
    <t>Zw�ite Groppe E</t>
  </si>
  <si>
    <t>Grupp E 2:a plats</t>
  </si>
  <si>
    <t>Zweeten Grupp E</t>
  </si>
  <si>
    <t>Gruppe E Andenplads</t>
  </si>
  <si>
    <t>Δεύτερος E ομίλου</t>
  </si>
  <si>
    <t>II-miejsce Grupy E</t>
  </si>
  <si>
    <t>Втори група E</t>
  </si>
  <si>
    <t>E csoport 2. helyezettje</t>
  </si>
  <si>
    <t>Grupa E Drugo mjesto</t>
  </si>
  <si>
    <t>Група Е Друго место</t>
  </si>
  <si>
    <t>Skupina E Druh� m�sto</t>
  </si>
  <si>
    <t>Skupina E Druh� miesto</t>
  </si>
  <si>
    <t>Skupina E Drugo mesto</t>
  </si>
  <si>
    <t>Locul 2 Grupa E</t>
  </si>
  <si>
    <t>Vendi i dyt� i Grupit E</t>
  </si>
  <si>
    <t>Grupa E drugo mjesto</t>
  </si>
  <si>
    <t>Второе место в группе E</t>
  </si>
  <si>
    <t>Друге місце групи E</t>
  </si>
  <si>
    <t>E Grubu İkincisi</t>
  </si>
  <si>
    <t>E Qrupu Ikincisi</t>
  </si>
  <si>
    <t>Nhì bảng E</t>
  </si>
  <si>
    <t>Runer up Grup E</t>
  </si>
  <si>
    <t>Kundi E - Nafasi ya Pili</t>
  </si>
  <si>
    <t>E хэсгийн үзүүр</t>
  </si>
  <si>
    <t>อันดับ 2 กลุ่ม E</t>
  </si>
  <si>
    <t>ގްރޫޕް އީ އިން ދެވަނަ</t>
  </si>
  <si>
    <t>பிரிவு E இரண்டாமிடம்</t>
  </si>
  <si>
    <t>מקום שני בית E</t>
  </si>
  <si>
    <t xml:space="preserve">ثاني المجموعة E </t>
  </si>
  <si>
    <t>دوم گروه E</t>
  </si>
  <si>
    <t>دووه‌می گروپی E</t>
  </si>
  <si>
    <t>گروپ E دوسری پوزیشن</t>
  </si>
  <si>
    <t>E組次名</t>
  </si>
  <si>
    <t>E组次名</t>
  </si>
  <si>
    <t>グループE ２位</t>
  </si>
  <si>
    <t>E 그룹 2등</t>
  </si>
  <si>
    <t>Group F Winner</t>
  </si>
  <si>
    <t>Sieger Gruppe F</t>
  </si>
  <si>
    <t>Premier du Groupe F</t>
  </si>
  <si>
    <t>Primero del Grupo F</t>
  </si>
  <si>
    <t>Prima Gruppo F</t>
  </si>
  <si>
    <t>Grupo F Ganhador</t>
  </si>
  <si>
    <t>Groep F Winnaar</t>
  </si>
  <si>
    <t>Gruppe F Vinner</t>
  </si>
  <si>
    <t>Gw�nner Groppe F</t>
  </si>
  <si>
    <t>Grupp F 1:a plats</t>
  </si>
  <si>
    <t>Eischten Grupp F</t>
  </si>
  <si>
    <t>Gruppe F Vinder</t>
  </si>
  <si>
    <t>Πρώτος F ομίλου</t>
  </si>
  <si>
    <t>Zwycięzca Grupy F</t>
  </si>
  <si>
    <t>Победител група F</t>
  </si>
  <si>
    <t>F csoport győztese</t>
  </si>
  <si>
    <t>Grupa F Pobjednik</t>
  </si>
  <si>
    <t>Група Ф Победник</t>
  </si>
  <si>
    <t>Skupina F Vítěz</t>
  </si>
  <si>
    <t>Skupina F Víťaz</t>
  </si>
  <si>
    <t>Skupina F Zmagovalec</t>
  </si>
  <si>
    <t>Câştigătoare Grupa F</t>
  </si>
  <si>
    <t>Fituesi i Grupit F</t>
  </si>
  <si>
    <t>Grupa F pobjednik</t>
  </si>
  <si>
    <t>Победитель группы F</t>
  </si>
  <si>
    <t>Переможець групи F</t>
  </si>
  <si>
    <t>F Grubu Lideri</t>
  </si>
  <si>
    <t>F Qrupu Qalibi</t>
  </si>
  <si>
    <t>Nhất bảng F</t>
  </si>
  <si>
    <t>Pemenang Grup F</t>
  </si>
  <si>
    <t>Kundi F - Mshindi</t>
  </si>
  <si>
    <t>F хэсгийн түрүү</t>
  </si>
  <si>
    <t>ผู้ชนะกลุ่ม F</t>
  </si>
  <si>
    <t>ގްރޫޕް އެފް އިން އެއްވަނަ</t>
  </si>
  <si>
    <t>பிரிவு F வெற்றி அணி</t>
  </si>
  <si>
    <t>מנצח בית F</t>
  </si>
  <si>
    <t>أول المجموعة F</t>
  </si>
  <si>
    <t>برنده گروه F</t>
  </si>
  <si>
    <t>براوه‌ی گروپی F</t>
  </si>
  <si>
    <t>گروپ F فاتح</t>
  </si>
  <si>
    <t xml:space="preserve">F組首名 </t>
  </si>
  <si>
    <t xml:space="preserve">F组首名 </t>
  </si>
  <si>
    <t>グループF １位</t>
  </si>
  <si>
    <t>F 그룹 1등</t>
  </si>
  <si>
    <t>Group F Second place</t>
  </si>
  <si>
    <t>Zweiter Gruppe F</t>
  </si>
  <si>
    <t>Deuxi�me du Groupe F</t>
  </si>
  <si>
    <t>Segundo del Grupo F</t>
  </si>
  <si>
    <t>Seconda Gruppo F</t>
  </si>
  <si>
    <t>Grupo F 2� colocado</t>
  </si>
  <si>
    <t>Groep F Tweede Plaats</t>
  </si>
  <si>
    <t>Gruppe F Andre plass</t>
  </si>
  <si>
    <t>Zw�ite Groppe F</t>
  </si>
  <si>
    <t>Grupp F 2:a plats</t>
  </si>
  <si>
    <t>Zweeten Grupp F</t>
  </si>
  <si>
    <t>Gruppe F Andenplads</t>
  </si>
  <si>
    <t>Δεύτερος F ομίλου</t>
  </si>
  <si>
    <t>II-miejsce Grupy F</t>
  </si>
  <si>
    <t>Втори група F</t>
  </si>
  <si>
    <t>F csoport 2. helyezettje</t>
  </si>
  <si>
    <t>Grupa F Drugo mjesto</t>
  </si>
  <si>
    <t>Група Ф Друго место</t>
  </si>
  <si>
    <t>Skupina F Druh� m�sto</t>
  </si>
  <si>
    <t>Skupina F Druh� miesto</t>
  </si>
  <si>
    <t>Skupina F Drugo mesto</t>
  </si>
  <si>
    <t>Locul 2 Grupa F</t>
  </si>
  <si>
    <t>Vendi i dyt� i Grupit F</t>
  </si>
  <si>
    <t>Grupa F drugo mjesto</t>
  </si>
  <si>
    <t>Второе место в группе F</t>
  </si>
  <si>
    <t>Друге місце групи F</t>
  </si>
  <si>
    <t>F Grubu İkincisi</t>
  </si>
  <si>
    <t>F Qrupu Ikincisi</t>
  </si>
  <si>
    <t>Nhì bảng F</t>
  </si>
  <si>
    <t>Runer up Grup F</t>
  </si>
  <si>
    <t>Kundi F - Nafasi ya Pili</t>
  </si>
  <si>
    <t>F хэсгийн үзүүр</t>
  </si>
  <si>
    <t>อันดับ 2 กลุ่ม F</t>
  </si>
  <si>
    <t>ގްރޫޕް އެފް އިން ދެވަނަ</t>
  </si>
  <si>
    <t>பிரிவு F இரண்டாமிடம்</t>
  </si>
  <si>
    <t>מקום שני בית F</t>
  </si>
  <si>
    <t>ثاني المجموعة F</t>
  </si>
  <si>
    <t>دوم گروه F</t>
  </si>
  <si>
    <t>دووه‌می گروپی F</t>
  </si>
  <si>
    <t>گروپ F دوسری پوزیشن</t>
  </si>
  <si>
    <t>F組次名</t>
  </si>
  <si>
    <t>F组次名</t>
  </si>
  <si>
    <t>グループF ２位</t>
  </si>
  <si>
    <t>F 그룹 2등</t>
  </si>
  <si>
    <t>Group G Winner</t>
  </si>
  <si>
    <t>Sieger Gruppe G</t>
  </si>
  <si>
    <t>Premier du Groupe G</t>
  </si>
  <si>
    <t>Primero del Grupo G</t>
  </si>
  <si>
    <t>Prima Gruppo G</t>
  </si>
  <si>
    <t>Grupo G Ganhador</t>
  </si>
  <si>
    <t>Groep G Winnaar</t>
  </si>
  <si>
    <t>Gruppe G Vinner</t>
  </si>
  <si>
    <t>Gw�nner Groppe G</t>
  </si>
  <si>
    <t>Grupp G 1:a plats</t>
  </si>
  <si>
    <t>Eischten Grupp G</t>
  </si>
  <si>
    <t>Gruppe G Vinder</t>
  </si>
  <si>
    <t>Πρώτος G ομίλου</t>
  </si>
  <si>
    <t>Zwycięzca Grupy G</t>
  </si>
  <si>
    <t>Победител група G</t>
  </si>
  <si>
    <t>G csoport győztese</t>
  </si>
  <si>
    <t>Grupa G Pobjednik</t>
  </si>
  <si>
    <t>Група Г Победник</t>
  </si>
  <si>
    <t>Skupina G Vítěz</t>
  </si>
  <si>
    <t>Skupina G Víťaz</t>
  </si>
  <si>
    <t>Skupina G Zmagovalec</t>
  </si>
  <si>
    <t>Câştigătoare Grupa G</t>
  </si>
  <si>
    <t>Fituesi i Grupit G</t>
  </si>
  <si>
    <t>Grupa G pobjednik</t>
  </si>
  <si>
    <t>Победитель группы G</t>
  </si>
  <si>
    <t>Переможець групи G</t>
  </si>
  <si>
    <t>G Grubu Lideri</t>
  </si>
  <si>
    <t>G Qrupu Qalibi</t>
  </si>
  <si>
    <t>Nhất bảng G</t>
  </si>
  <si>
    <t>Pemenang Grup G</t>
  </si>
  <si>
    <t>Kundi G - Mshindi</t>
  </si>
  <si>
    <t>G хэсгийн түрүү</t>
  </si>
  <si>
    <t>ผู้ชนะกลุ่ม G</t>
  </si>
  <si>
    <t>ގްރޫޕް ޖީ އިން އެއްވަނަ</t>
  </si>
  <si>
    <t>பிரிவு G வெற்றி அணி</t>
  </si>
  <si>
    <t>מנצח בית G</t>
  </si>
  <si>
    <t>أول المجموعة G</t>
  </si>
  <si>
    <t>برنده گروه G</t>
  </si>
  <si>
    <t>براوه‌ی گروپی G</t>
  </si>
  <si>
    <t>گروپ G فاتح</t>
  </si>
  <si>
    <t xml:space="preserve">G組首名 </t>
  </si>
  <si>
    <t xml:space="preserve">G组首名 </t>
  </si>
  <si>
    <t>グループG １位</t>
  </si>
  <si>
    <t>G 그룹 1등</t>
  </si>
  <si>
    <t>Group G Second place</t>
  </si>
  <si>
    <t>Zweiter Gruppe G</t>
  </si>
  <si>
    <t>Deuxi�me du Groupe G</t>
  </si>
  <si>
    <t>Segundo del Grupo G</t>
  </si>
  <si>
    <t>Seconda Gruppo G</t>
  </si>
  <si>
    <t>Grupo G 2� colocado</t>
  </si>
  <si>
    <t>Groep G Tweede Plaats</t>
  </si>
  <si>
    <t>Gruppe G Andre plass</t>
  </si>
  <si>
    <t>Zw�ite Groppe G</t>
  </si>
  <si>
    <t>Grupp G 2:a plats</t>
  </si>
  <si>
    <t>Zweeten Grupp G</t>
  </si>
  <si>
    <t>Gruppe G Andenplads</t>
  </si>
  <si>
    <t>Δεύτερος G ομίλου</t>
  </si>
  <si>
    <t>II-miejsce Grupy G</t>
  </si>
  <si>
    <t>Втори група G</t>
  </si>
  <si>
    <t>G csoport 2. helyezettje</t>
  </si>
  <si>
    <t>Grupa G Drugo mjesto</t>
  </si>
  <si>
    <t>Група Г Друго место</t>
  </si>
  <si>
    <t>Skupina G Druh� m�sto</t>
  </si>
  <si>
    <t>Skupina G Druh� miesto</t>
  </si>
  <si>
    <t>Skupina G Drugo mesto</t>
  </si>
  <si>
    <t>Locul 2 Grupa G</t>
  </si>
  <si>
    <t>Vendi i dyt� i Grupit G</t>
  </si>
  <si>
    <t>Grupa G drugo mjesto</t>
  </si>
  <si>
    <t>Второе место в группе G</t>
  </si>
  <si>
    <t>Друге місце групи G</t>
  </si>
  <si>
    <t>G Grubu İkincisi</t>
  </si>
  <si>
    <t>G Qrupu Ikincisi</t>
  </si>
  <si>
    <t>Nhì bảng G</t>
  </si>
  <si>
    <t>Runer up Grup G</t>
  </si>
  <si>
    <t>Kundi G - Nafasi ya Pili</t>
  </si>
  <si>
    <t>G хэсгийн үзүүр</t>
  </si>
  <si>
    <t>อันดับ 2 กลุ่ม G</t>
  </si>
  <si>
    <t>ގްރޫޕް ޖީ އިން ދެވަނަ</t>
  </si>
  <si>
    <t>பிரிவு G இரண்டாமிடம்</t>
  </si>
  <si>
    <t>מקום שני בית G</t>
  </si>
  <si>
    <t>ثاني المجموعة G</t>
  </si>
  <si>
    <t>دوم گروه G</t>
  </si>
  <si>
    <t>دووه‌می گروپی G</t>
  </si>
  <si>
    <t>گروپ G دوسری پوزیشن</t>
  </si>
  <si>
    <t>G組次名</t>
  </si>
  <si>
    <t>G组次名</t>
  </si>
  <si>
    <t>グループG ２位</t>
  </si>
  <si>
    <t>G 그룹 2등</t>
  </si>
  <si>
    <t>Group H Winner</t>
  </si>
  <si>
    <t>Sieger Gruppe H</t>
  </si>
  <si>
    <t>Premier du Groupe H</t>
  </si>
  <si>
    <t>Primero del Grupo H</t>
  </si>
  <si>
    <t>Prima Gruppo H</t>
  </si>
  <si>
    <t>Grupo H Ganhador</t>
  </si>
  <si>
    <t>Groep H Winnaar</t>
  </si>
  <si>
    <t>Gruppe H Vinner</t>
  </si>
  <si>
    <t>Gw�nner Groppe H</t>
  </si>
  <si>
    <t>Grupp H 1:a plats</t>
  </si>
  <si>
    <t>Eischten Grupp H</t>
  </si>
  <si>
    <t>Gruppe H Vinder</t>
  </si>
  <si>
    <t>Πρώτος H ομίλου</t>
  </si>
  <si>
    <t>Zwycięzca Grupy H</t>
  </si>
  <si>
    <t>Победител група H</t>
  </si>
  <si>
    <t>H csoport győztese</t>
  </si>
  <si>
    <t>Grupa H Pobjednik</t>
  </si>
  <si>
    <t>Група Х Победник</t>
  </si>
  <si>
    <t>Skupina H Vítěz</t>
  </si>
  <si>
    <t>Skupina H Víťaz</t>
  </si>
  <si>
    <t>Skupina H Zmagovalec</t>
  </si>
  <si>
    <t>Câştigătoare Grupa H</t>
  </si>
  <si>
    <t>Fituesi i Grupit H</t>
  </si>
  <si>
    <t>Grupa H pobjednik</t>
  </si>
  <si>
    <t>Победитель группы H</t>
  </si>
  <si>
    <t>Переможець групи H</t>
  </si>
  <si>
    <t>H Grubu Lideri</t>
  </si>
  <si>
    <t>H Qrupu Qalibi</t>
  </si>
  <si>
    <t>Nhất bảng H</t>
  </si>
  <si>
    <t>Pemenang Grup H</t>
  </si>
  <si>
    <t>Kundi H - Mshindi</t>
  </si>
  <si>
    <t>H хэсгийн түрүү</t>
  </si>
  <si>
    <t>ผู้ชนะกลุ่ม H</t>
  </si>
  <si>
    <t>ގްރޫޕް އެޗް އިން އެއްވަނަ</t>
  </si>
  <si>
    <t>பிரிவு H வெற்றி அணி</t>
  </si>
  <si>
    <t>מנצח בית H</t>
  </si>
  <si>
    <t>أول المجموعة H</t>
  </si>
  <si>
    <t>برنده گروه H</t>
  </si>
  <si>
    <t>براوه‌ی گروپی H</t>
  </si>
  <si>
    <t>گروپ H فاتح</t>
  </si>
  <si>
    <t xml:space="preserve">H組首名 </t>
  </si>
  <si>
    <t xml:space="preserve">H组首名 </t>
  </si>
  <si>
    <t>グループH １位</t>
  </si>
  <si>
    <t>H 그룹 1등</t>
  </si>
  <si>
    <t>Group H Second place</t>
  </si>
  <si>
    <t>Zweiter Gruppe H</t>
  </si>
  <si>
    <t>Deuxi�me du Groupe H</t>
  </si>
  <si>
    <t>Segundo del Grupo H</t>
  </si>
  <si>
    <t>Seconda Gruppo H</t>
  </si>
  <si>
    <t>Grupo H 2� colocado</t>
  </si>
  <si>
    <t>Groep H Tweede Plaats</t>
  </si>
  <si>
    <t>Gruppe H Andre plass</t>
  </si>
  <si>
    <t>Zw�ite Groppe H</t>
  </si>
  <si>
    <t>Grupp H 2:a plats</t>
  </si>
  <si>
    <t>Zweeten Grupp H</t>
  </si>
  <si>
    <t>Gruppe H Andenplads</t>
  </si>
  <si>
    <t>Δεύτερος H ομίλου</t>
  </si>
  <si>
    <t>II-miejsce Grupy H</t>
  </si>
  <si>
    <t>Втори група H</t>
  </si>
  <si>
    <t>H csoport 2. helyezettje</t>
  </si>
  <si>
    <t>Grupa H Drugo mjesto</t>
  </si>
  <si>
    <t>Група Х Друго место</t>
  </si>
  <si>
    <t>Skupina H Druh� m�sto</t>
  </si>
  <si>
    <t>Skupina H Druh� miesto</t>
  </si>
  <si>
    <t>Skupina H Drugo mesto</t>
  </si>
  <si>
    <t>Locul 2 Grupa H</t>
  </si>
  <si>
    <t>Vendi i dyt� i Grupit H</t>
  </si>
  <si>
    <t>Grupa H drugo mjesto</t>
  </si>
  <si>
    <t>Второе место в группе H</t>
  </si>
  <si>
    <t>Друге місце групи H</t>
  </si>
  <si>
    <t>H Grubu İkincisi</t>
  </si>
  <si>
    <t>H Qrupu Ikincisi</t>
  </si>
  <si>
    <t>Nhì bảng H</t>
  </si>
  <si>
    <t>Runer up Grup H</t>
  </si>
  <si>
    <t>Kundi H - Nafasi ya Pili</t>
  </si>
  <si>
    <t>H хэсгийн үзүүр</t>
  </si>
  <si>
    <t>อันดับ 2 กลุ่ม H</t>
  </si>
  <si>
    <t>ގްރޫޕް އެޗް އިން ދެވަނަ</t>
  </si>
  <si>
    <t>பிரிவு H இரண்டாமிடம்</t>
  </si>
  <si>
    <t>מקום שני בית H</t>
  </si>
  <si>
    <t>ثاني المجموعة H</t>
  </si>
  <si>
    <t>دوم گروه H</t>
  </si>
  <si>
    <t>دووه‌می گروپی H</t>
  </si>
  <si>
    <t>گروپ H دوسری پوزیشن</t>
  </si>
  <si>
    <t>H組次名</t>
  </si>
  <si>
    <t>H组次名</t>
  </si>
  <si>
    <t>グループH ２位</t>
  </si>
  <si>
    <t>H 그룹 2등</t>
  </si>
  <si>
    <t>Second Round 1 Winner</t>
  </si>
  <si>
    <t>Sieger Achtelfinale 1</t>
  </si>
  <si>
    <t>Vainqueur du Huiti�me de Finale 1</t>
  </si>
  <si>
    <t>Ganador partido 1A vs 2B</t>
  </si>
  <si>
    <t>Vincitrice Ottavo di Finale 1</t>
  </si>
  <si>
    <t>Oitavas de Final 1 Vencedor</t>
  </si>
  <si>
    <t>Tweede Ronde 1 Winnaar</t>
  </si>
  <si>
    <t>Vinner �ttendedelsfinale 1</t>
  </si>
  <si>
    <t>Gw�nner zw�iti Rondi 1</t>
  </si>
  <si>
    <t>�ttondelsfinal 1 vinnare</t>
  </si>
  <si>
    <t>Aachtelsfinal 1 Gewenner</t>
  </si>
  <si>
    <t>Anden Runde 1 Vinder</t>
  </si>
  <si>
    <t>Δεύτερος Γύρος Νικητής 1</t>
  </si>
  <si>
    <t>1 Zwycięzca Rundy Drugiej</t>
  </si>
  <si>
    <t>Победител осминафинал 1</t>
  </si>
  <si>
    <t>1. nyolcaddöntő győztese</t>
  </si>
  <si>
    <t>Drugi krug 1 Pobjednik</t>
  </si>
  <si>
    <t>Други круг 1 Победник</t>
  </si>
  <si>
    <t>Druhé kolo 1 Vítěz</t>
  </si>
  <si>
    <t>Druhé kolo 1 Víťaz</t>
  </si>
  <si>
    <t>Drugi krog 1 Zmagovalec</t>
  </si>
  <si>
    <t>Câştigătoare 1 în runda 2</t>
  </si>
  <si>
    <t>Fituesi 1 i xhiros s� dyt�</t>
  </si>
  <si>
    <t>Drugi krug 1 pobjednik</t>
  </si>
  <si>
    <t>Четвертьфиналист 1</t>
  </si>
  <si>
    <t>Чвертьфіналіст 1</t>
  </si>
  <si>
    <t>İkinci Maçlar (1) Galibi</t>
  </si>
  <si>
    <t>İkinci Tur (1) Qalibi</t>
  </si>
  <si>
    <t>Đội thắng trận 1 vòng 2</t>
  </si>
  <si>
    <t>Pemenang 1 Putaran II</t>
  </si>
  <si>
    <t>Mzunguko wa Pili - Mshindi 1</t>
  </si>
  <si>
    <t>Удаах үеийн 1-р Ялагч</t>
  </si>
  <si>
    <t>ผู้ชนะรอบ 16 ทีม ทีมที่ 1</t>
  </si>
  <si>
    <t>ދެވަނަ ބުރުން އެއްވަނަ 1</t>
  </si>
  <si>
    <t>இரண்டாவது சுற்று வெற்றி அணி 1</t>
  </si>
  <si>
    <t>שלב שני מנצח 1</t>
  </si>
  <si>
    <t>الفائز من الدور الثاني مباراة 1</t>
  </si>
  <si>
    <t>برنده مرحله دوم 1</t>
  </si>
  <si>
    <t>یه‌که‌می خولی دووه‌م</t>
  </si>
  <si>
    <t xml:space="preserve">دوسرا راونڈ فاتح 1 </t>
  </si>
  <si>
    <t>1/8 決賽 (1) 優勝</t>
  </si>
  <si>
    <t>1/8 决赛 (1) 优胜</t>
  </si>
  <si>
    <t>決勝トーナメント １戦目勝者</t>
  </si>
  <si>
    <t>2회전 1 경기 승자</t>
  </si>
  <si>
    <t>Second Round 2 Winner</t>
  </si>
  <si>
    <t>Sieger Achtelfinale 2</t>
  </si>
  <si>
    <t>Vainqueur du Huiti�me de Finale 2</t>
  </si>
  <si>
    <t>Ganador partido 1C vs 2D</t>
  </si>
  <si>
    <t>Vincitrice Ottavo di Finale 2</t>
  </si>
  <si>
    <t>Oitavas de Final 2 Vencedor</t>
  </si>
  <si>
    <t>Tweede Ronde 2 Winnaar</t>
  </si>
  <si>
    <t>Vinner �ttendedelsfinale 2</t>
  </si>
  <si>
    <t>Gw�nner zw�iti Rondi 2</t>
  </si>
  <si>
    <t>�ttondelsfinal 2 vinnare</t>
  </si>
  <si>
    <t>Aachtelsfinal 2 Gewenner</t>
  </si>
  <si>
    <t>Anden Runde 2 Vinder</t>
  </si>
  <si>
    <t>Δεύτερος Γύρος Νικητής 2</t>
  </si>
  <si>
    <t>2 Zwycięzca Rundy Drugiej</t>
  </si>
  <si>
    <t>Победител осминафинал 2</t>
  </si>
  <si>
    <t>2. nyolcaddöntő győztese</t>
  </si>
  <si>
    <t>Drugi krug 2 Pobjednik</t>
  </si>
  <si>
    <t>Други круг 2 Победник</t>
  </si>
  <si>
    <t>Druhé kolo 2 Vítěz</t>
  </si>
  <si>
    <t>Druhé kolo 2 Víťaz</t>
  </si>
  <si>
    <t>Drugi krog 2 Zmagovalec</t>
  </si>
  <si>
    <t>Câştigătoare 2 în runda 2</t>
  </si>
  <si>
    <t>Fituesi 2 i xhiros s� dyt�</t>
  </si>
  <si>
    <t>Drugi krug 2 pobjednik</t>
  </si>
  <si>
    <t>Четвертьфиналист 2</t>
  </si>
  <si>
    <t>Чвертьфіналіст 2</t>
  </si>
  <si>
    <t>İkinci Maçlar (2) Galibi</t>
  </si>
  <si>
    <t>İkinci Tur (2) Qalibi</t>
  </si>
  <si>
    <t>Đội thắng trận 2 vòng 2</t>
  </si>
  <si>
    <t>Pemenang 2 Putaran II</t>
  </si>
  <si>
    <t>Mzunguko wa Pili - Mshindi 2</t>
  </si>
  <si>
    <t>Удаах үеийн 2-р Ялагч</t>
  </si>
  <si>
    <t>ผู้ชนะรอบ 16 ทีม ทีมที่ 2</t>
  </si>
  <si>
    <t>ދެވަނަ ބުރުން އެއްވަނަ 2</t>
  </si>
  <si>
    <t>இரண்டாவது சுற்று வெற்றி அணி 2</t>
  </si>
  <si>
    <t>שלב שני מנצח 2</t>
  </si>
  <si>
    <t>الفائز من الدور الثاني مباراة 2</t>
  </si>
  <si>
    <t>برنده مرحله دوم 2</t>
  </si>
  <si>
    <t>دووه‌می خولی دووه‌م</t>
  </si>
  <si>
    <t>دوسرا راونڈ فاتح  2</t>
  </si>
  <si>
    <t>1/8 決賽 (2) 優勝</t>
  </si>
  <si>
    <t>1/8 决赛 (2) 优胜</t>
  </si>
  <si>
    <t>決勝トーナメント ２戦目勝者</t>
  </si>
  <si>
    <t>2회전 2 경기 승자</t>
  </si>
  <si>
    <t>Second Round 3 Winner</t>
  </si>
  <si>
    <t>Sieger Achtelfinale 3</t>
  </si>
  <si>
    <t>Vainqueur du Huiti�me de Finale 3</t>
  </si>
  <si>
    <t>Ganador partido 1B vs 2A</t>
  </si>
  <si>
    <t>Vincitrice Ottavo di Finale 3</t>
  </si>
  <si>
    <t>Oitavas de Final 3 Vencedor</t>
  </si>
  <si>
    <t>Tweede Ronde 3 Winnaar</t>
  </si>
  <si>
    <t>Vinner �ttendedelsfinale 3</t>
  </si>
  <si>
    <t>Gw�nner zw�iti Rondi 3</t>
  </si>
  <si>
    <t>�ttondelsfinal 3 vinnare</t>
  </si>
  <si>
    <t>Aachtelsfinal 3 Gewenner</t>
  </si>
  <si>
    <t>Anden Runde 3 Vinder</t>
  </si>
  <si>
    <t>Δεύτερος Γύρος Νικητής 3</t>
  </si>
  <si>
    <t>3 Zwycięzca Rundy Drugiej</t>
  </si>
  <si>
    <t>Победител осминафинал 3</t>
  </si>
  <si>
    <t>3. nyolcaddöntő győztese</t>
  </si>
  <si>
    <t>Drugi krug 3 Pobjednik</t>
  </si>
  <si>
    <t>Други круг 3 Победник</t>
  </si>
  <si>
    <t>Druhé kolo 3 Vítěz</t>
  </si>
  <si>
    <t>Druhé kolo 3 Víťaz</t>
  </si>
  <si>
    <t>Drugi krog 3 Zmagovalec</t>
  </si>
  <si>
    <t>Câştigătoare 3 în runda 2</t>
  </si>
  <si>
    <t>Fituesi 3 i xhiros s� dyt�</t>
  </si>
  <si>
    <t>Drugi krug 3 pobjednik</t>
  </si>
  <si>
    <t>Четвертьфиналист 3</t>
  </si>
  <si>
    <t>Чвертьфіналіст 3</t>
  </si>
  <si>
    <t>İkinci Maçlar (3) Galibi</t>
  </si>
  <si>
    <t>İkinci Tur (3) Qalibi</t>
  </si>
  <si>
    <t>Đội thắng trận 3 vòng 2</t>
  </si>
  <si>
    <t>Pemenang 3 Putaran II</t>
  </si>
  <si>
    <t>Mzunguko wa Pili - Mshindi 3</t>
  </si>
  <si>
    <t>Удаах үеийн 3-р Ялагч</t>
  </si>
  <si>
    <t>ผู้ชนะรอบ 16 ทีม ทีมที่ 3</t>
  </si>
  <si>
    <t>ދެވަނަ ބުރުން އެއްވަނަ 3</t>
  </si>
  <si>
    <t>இரண்டாவது சுற்று வெற்றி அணி 3</t>
  </si>
  <si>
    <t>שלב שני מנצח 3</t>
  </si>
  <si>
    <t>الفائز من الدور الثاني مباراة 3</t>
  </si>
  <si>
    <t>برنده مرحله دوم 3</t>
  </si>
  <si>
    <t>سێیه‌می خولی دووه‌م</t>
  </si>
  <si>
    <t>دوسرا راونڈ فاتح  3</t>
  </si>
  <si>
    <t>1/8 決賽 (3) 優勝</t>
  </si>
  <si>
    <t>1/8 决赛 (3) 优胜</t>
  </si>
  <si>
    <t>決勝トーナメント ３戦目勝者</t>
  </si>
  <si>
    <t>2회전 3 경기 승자</t>
  </si>
  <si>
    <t>Second Round 4 Winner</t>
  </si>
  <si>
    <t>Sieger Achtelfinale 4</t>
  </si>
  <si>
    <t>Vainqueur du Huiti�me de Finale 4</t>
  </si>
  <si>
    <t>Ganador partido 1D vs 2C</t>
  </si>
  <si>
    <t>Vincitrice Ottavo di Finale 4</t>
  </si>
  <si>
    <t>Oitavas de Final 4 Vencedor</t>
  </si>
  <si>
    <t>Tweede Ronde 4 Winnaar</t>
  </si>
  <si>
    <t>Vinner �ttendedelsfinale 4</t>
  </si>
  <si>
    <t>Gw�nner zw�iti Rondi 4</t>
  </si>
  <si>
    <t>�ttondelsfinal 4 vinnare</t>
  </si>
  <si>
    <t>Aachtelsfinal 4 Gewenner</t>
  </si>
  <si>
    <t>Anden Runde 4 Vinder</t>
  </si>
  <si>
    <t>Δεύτερος Γύρος Νικητής 4</t>
  </si>
  <si>
    <t>4 Zwycięzca Rundy Drugiej</t>
  </si>
  <si>
    <t>Победител осминафинал 4</t>
  </si>
  <si>
    <t>4. nyolcaddöntő győztese</t>
  </si>
  <si>
    <t>Drugi krug 4 Pobjednik</t>
  </si>
  <si>
    <t>Други круг 4 Победник</t>
  </si>
  <si>
    <t>Druhé kolo 4 Vítěz</t>
  </si>
  <si>
    <t>Druhé kolo 4 Víťaz</t>
  </si>
  <si>
    <t>Drugi krog 4 Zmagovalec</t>
  </si>
  <si>
    <t>Câştigătoare 4 în runda 2</t>
  </si>
  <si>
    <t>Fituesi 4 i xhiros s� dyt�</t>
  </si>
  <si>
    <t>Drugi krug 4 pobjednik</t>
  </si>
  <si>
    <t>Четвертьфиналист 4</t>
  </si>
  <si>
    <t>Чвертьфіналіст 4</t>
  </si>
  <si>
    <t>İkinci Maçlar (4) Galibi</t>
  </si>
  <si>
    <t>İkinci Tur (4) Qalibi</t>
  </si>
  <si>
    <t>Đội thắng trận 4 vòng 2</t>
  </si>
  <si>
    <t>Pemenang 4 Putaran II</t>
  </si>
  <si>
    <t>Mzunguko wa Pili - Mshindi 4</t>
  </si>
  <si>
    <t>Удаах үеийн 4-р Ялагч</t>
  </si>
  <si>
    <t>ผู้ชนะรอบ 16 ทีม ทีมที่ 4</t>
  </si>
  <si>
    <t>ދެވަނަ ބުރުން އެއްވަނަ 4</t>
  </si>
  <si>
    <t>இரண்டாவது சுற்று வெற்றி அணி 4</t>
  </si>
  <si>
    <t>שלב שני מנצח 4</t>
  </si>
  <si>
    <t>الفائز من الدور الثاني مباراة 4</t>
  </si>
  <si>
    <t>برنده مرحله دوم 4</t>
  </si>
  <si>
    <t>چواره‌می خولی دووه‌م</t>
  </si>
  <si>
    <t>دوسرا راونڈ فاتح  4</t>
  </si>
  <si>
    <t>1/8 決賽 (4) 優勝</t>
  </si>
  <si>
    <t>1/8 决赛 (4) 优胜</t>
  </si>
  <si>
    <t>決勝トーナメント ４戦目勝者</t>
  </si>
  <si>
    <t>2회전 4 경기 승자</t>
  </si>
  <si>
    <t>Second Round 5 Winner</t>
  </si>
  <si>
    <t>Sieger Achtelfinale 5</t>
  </si>
  <si>
    <t>Vainqueur du Huiti�mesde Finale 5</t>
  </si>
  <si>
    <t>Ganador partido 1E vs 2F</t>
  </si>
  <si>
    <t>Vincitrice Ottavo di Finale 5</t>
  </si>
  <si>
    <t>Oitavas de Final 5 Vencedor</t>
  </si>
  <si>
    <t>Tweede Ronde 5 Winnaar</t>
  </si>
  <si>
    <t>Vinner �ttendedelsfinale 5</t>
  </si>
  <si>
    <t>Gw�nner zw�iti Rondi 5</t>
  </si>
  <si>
    <t>�ttondelsfinal 5 vinnare</t>
  </si>
  <si>
    <t>Aachtelsfinal 5 Gewenner</t>
  </si>
  <si>
    <t>Anden Runde 5 Vinder</t>
  </si>
  <si>
    <t>Δεύτερος Γύρος Νικητής 5</t>
  </si>
  <si>
    <t>5 Zwycięzca Rundy Drugiej</t>
  </si>
  <si>
    <t>Победител осминафинал 5</t>
  </si>
  <si>
    <t>5. nyolcaddöntő győztese</t>
  </si>
  <si>
    <t>Drugi krug 5 Pobjednik</t>
  </si>
  <si>
    <t>Други круг 5 Победник</t>
  </si>
  <si>
    <t>Druhé kolo 5 Vítěz</t>
  </si>
  <si>
    <t>Druhé kolo 5 Víťaz</t>
  </si>
  <si>
    <t>Drugi krog 5 Zmagovalec</t>
  </si>
  <si>
    <t>Câştigătoare 5 în runda 2</t>
  </si>
  <si>
    <t>Fituesi 5 i xhiros s� dyt�</t>
  </si>
  <si>
    <t>Drugi krug 5 pobjednik</t>
  </si>
  <si>
    <t>Четвертьфиналист 5</t>
  </si>
  <si>
    <t>Чвертьфіналіст 5</t>
  </si>
  <si>
    <t>İkinci Maçlar (5) Galibi</t>
  </si>
  <si>
    <t>İkinci Tur (5) Qalibi</t>
  </si>
  <si>
    <t>Đội thắng trận 5 vòng 2</t>
  </si>
  <si>
    <t>Pemenang 5 Putaran II</t>
  </si>
  <si>
    <t>Mzunguko wa Pili - Mshindi 5</t>
  </si>
  <si>
    <t>Удаах үеийн 5-р Ялагч</t>
  </si>
  <si>
    <t>ผู้ชนะรอบ 16 ทีม ทีมที่ 5</t>
  </si>
  <si>
    <t>ދެވަނަ ބުރުން އެއްވަނަ 5</t>
  </si>
  <si>
    <t>இரண்டாவது சுற்று வெற்றி அணி 5</t>
  </si>
  <si>
    <t>שלב שני מנצח 5</t>
  </si>
  <si>
    <t>الفائز من الدور الثاني مباراة 5</t>
  </si>
  <si>
    <t>برنده مرحله دوم 5</t>
  </si>
  <si>
    <t>پێنجه‌می خولی دووه‌م</t>
  </si>
  <si>
    <t>دوسرا راونڈ فاتح  5</t>
  </si>
  <si>
    <t>1/8 決賽 (5) 優勝</t>
  </si>
  <si>
    <t>1/8 决赛 (5) 优胜</t>
  </si>
  <si>
    <t>決勝トーナメント ５戦目勝者</t>
  </si>
  <si>
    <t>2회전 5 경기 승자</t>
  </si>
  <si>
    <t>Second Round 6 Winner</t>
  </si>
  <si>
    <t>Sieger Achtelfinale 6</t>
  </si>
  <si>
    <t>Vainqueur du Huiti�me de Finale 6</t>
  </si>
  <si>
    <t>Ganador partido 1G vs 2H</t>
  </si>
  <si>
    <t>Vincitrice Ottavo di Finale 6</t>
  </si>
  <si>
    <t>Oitavas de Final 6 Vencedor</t>
  </si>
  <si>
    <t>Tweede Ronde 6 Winnaar</t>
  </si>
  <si>
    <t>Vinner �ttendedelsfinale 6</t>
  </si>
  <si>
    <t>Gw�nner zw�iti Rondi 6</t>
  </si>
  <si>
    <t>�ttondelsfinal 6 vinnare</t>
  </si>
  <si>
    <t>Aachtelsfinal 6 Gewenner</t>
  </si>
  <si>
    <t>Anden Runde 6 Vinder</t>
  </si>
  <si>
    <t>Δεύτερος Γύρος Νικητής 6</t>
  </si>
  <si>
    <t>6 Zwycięzca Rundy Drugiej</t>
  </si>
  <si>
    <t>Победител осминафинал 6</t>
  </si>
  <si>
    <t>6. nyolcaddöntő győztese</t>
  </si>
  <si>
    <t>Drugi krug 6 Pobjednik</t>
  </si>
  <si>
    <t>Други круг 6 Победник</t>
  </si>
  <si>
    <t>Druhé kolo 6 Vítěz</t>
  </si>
  <si>
    <t>Druhé kolo 6 Víťaz</t>
  </si>
  <si>
    <t>Drugi krog 6 Zmagovalec</t>
  </si>
  <si>
    <t>Câştigătoare 6 în runda 2</t>
  </si>
  <si>
    <t>Fituesi 6 i xhiros s� dyt�</t>
  </si>
  <si>
    <t>Drugi krug 6 pobjednik</t>
  </si>
  <si>
    <t>Четвертьфиналист 6</t>
  </si>
  <si>
    <t>Чвертьфіналіст 6</t>
  </si>
  <si>
    <t>İkinci Maçlar (6) Galibi</t>
  </si>
  <si>
    <t>İkinci Tur (6) Qalibi</t>
  </si>
  <si>
    <t>Đội thắng trận 6 vòng 2</t>
  </si>
  <si>
    <t>Pemenang 6 Putaran II</t>
  </si>
  <si>
    <t>Mzunguko wa Pili - Mshindi 6</t>
  </si>
  <si>
    <t>Удаах үеийн 6-р Ялагч</t>
  </si>
  <si>
    <t>ผู้ชนะรอบ 16 ทีม ทีมที่ 6</t>
  </si>
  <si>
    <t>ދެވަނަ ބުރުން އެއްވަނަ 6</t>
  </si>
  <si>
    <t>இரண்டாவது சுற்று வெற்றி அணி 6</t>
  </si>
  <si>
    <t>שלב שני מנצח 6</t>
  </si>
  <si>
    <t>الفائز من الدور الثاني مباراة 6</t>
  </si>
  <si>
    <t>برنده مرحله دوم 6</t>
  </si>
  <si>
    <t>شه‌شه‌می خولی دووه‌م</t>
  </si>
  <si>
    <t>دوسرا راونڈ فاتح  6</t>
  </si>
  <si>
    <t>1/8 決賽 (6) 優勝</t>
  </si>
  <si>
    <t>1/8 决赛 (6) 优胜</t>
  </si>
  <si>
    <t>決勝トーナメント ６戦目勝者</t>
  </si>
  <si>
    <t>2회전 6 경기 승자</t>
  </si>
  <si>
    <t>Second Round 7 Winner</t>
  </si>
  <si>
    <t>Sieger Achtelfinale 7</t>
  </si>
  <si>
    <t>Vainqueur du Huiti�me de Finale 7</t>
  </si>
  <si>
    <t>Ganador partido 1F vs 2E</t>
  </si>
  <si>
    <t>Vincitrice Ottavo di Finale 7</t>
  </si>
  <si>
    <t>Oitavas de Final 7 Vencedor</t>
  </si>
  <si>
    <t>Tweede Ronde 7 Winnaar</t>
  </si>
  <si>
    <t>Vinner �ttendedelsfinale 7</t>
  </si>
  <si>
    <t>Gw�nner zw�iti Rondi 7</t>
  </si>
  <si>
    <t>�ttondelsfinal 7 vinnare</t>
  </si>
  <si>
    <t>Aachtelsfinal 7 Gewenner</t>
  </si>
  <si>
    <t>Anden Runde 7 Vinder</t>
  </si>
  <si>
    <t>Δεύτερος Γύρος Νικητής 7</t>
  </si>
  <si>
    <t>7 Zwycięzca Rundy Drugiej</t>
  </si>
  <si>
    <t>Победител осминафинал 7</t>
  </si>
  <si>
    <t>7. nyolcaddöntő győztese</t>
  </si>
  <si>
    <t>Drugi krug 7 Pobjednik</t>
  </si>
  <si>
    <t>Други круг 7 Победник</t>
  </si>
  <si>
    <t>Druhé kolo 8 Vítěz</t>
  </si>
  <si>
    <t>Druhé kolo 7 Víťaz</t>
  </si>
  <si>
    <t>Drugi krog 7 Zmagovalec</t>
  </si>
  <si>
    <t>Câştigătoare 7 în runda 2</t>
  </si>
  <si>
    <t>Fituesi 7 i xhiros s� dyt�</t>
  </si>
  <si>
    <t>Drugi krug 7 pobjednik</t>
  </si>
  <si>
    <t>Четвертьфиналист 7</t>
  </si>
  <si>
    <t>Чвертьфіналіст 7</t>
  </si>
  <si>
    <t>İkinci Maçlar (7) Galibi</t>
  </si>
  <si>
    <t>İkinci Tur (7) Qalibi</t>
  </si>
  <si>
    <t>Đội thắng trận 7 vòng 2</t>
  </si>
  <si>
    <t>Pemenang 7 Putaran II</t>
  </si>
  <si>
    <t>Mzunguko wa Pili - Mshindi 7</t>
  </si>
  <si>
    <t>Удаах үеийн 7-р Ялагч</t>
  </si>
  <si>
    <t>ผู้ชนะรอบ 16 ทีม ทีมที่ 7</t>
  </si>
  <si>
    <t>ދެވަނަ ބުރުން އެއްވަނަ 7</t>
  </si>
  <si>
    <t>இரண்டாவது சுற்று வெற்றி அணி 7</t>
  </si>
  <si>
    <t>שלב שני מנצח 7</t>
  </si>
  <si>
    <t>الفائز من الدور الثاني مباراة 7</t>
  </si>
  <si>
    <t>برنده مرحله دوم 7</t>
  </si>
  <si>
    <t>حه‌فته‌می خولی دووه‌م</t>
  </si>
  <si>
    <t>دوسرا راونڈ فاتح  7</t>
  </si>
  <si>
    <t>1/8 決賽 (7) 優勝</t>
  </si>
  <si>
    <t>1/8 决赛 (7) 优胜</t>
  </si>
  <si>
    <t>決勝トーナメント ７戦目勝者</t>
  </si>
  <si>
    <t>2회전 7 경기 승자</t>
  </si>
  <si>
    <t>Second Round 8 Winner</t>
  </si>
  <si>
    <t>Sieger Achtelfinale 8</t>
  </si>
  <si>
    <t>Vainqueur du Huiti�me de Finale 8</t>
  </si>
  <si>
    <t>Ganador partido 1H vs 2G</t>
  </si>
  <si>
    <t>Vincitrice Ottavo di Finale 8</t>
  </si>
  <si>
    <t>Oitavas de Final 8 Vencedor</t>
  </si>
  <si>
    <t>Tweede Ronde 8 Winnaar</t>
  </si>
  <si>
    <t>Vinner �ttendedelsfinale 8</t>
  </si>
  <si>
    <t>Gw�nner zw�iti Rondi 8</t>
  </si>
  <si>
    <t>�ttondelsfinal 8 vinnare</t>
  </si>
  <si>
    <t>Aachtelsfinal 8 Gewenner</t>
  </si>
  <si>
    <t>Anden Runde 8 Vinder</t>
  </si>
  <si>
    <t>Δεύτερος Γύρος Νικητής 8</t>
  </si>
  <si>
    <t>8 Zwycięzca Rundy Drugiej</t>
  </si>
  <si>
    <t>Победител осминафинал 8</t>
  </si>
  <si>
    <t>8. nyolcaddöntő győztese</t>
  </si>
  <si>
    <t>Drugi krug 8 Pobjednik</t>
  </si>
  <si>
    <t>Други круг 8 Победник</t>
  </si>
  <si>
    <t>Druhé kolo 9 Vítěz</t>
  </si>
  <si>
    <t>Druhé kolo 8 Víťaz</t>
  </si>
  <si>
    <t>Drugi krog 8 Zmagovalec</t>
  </si>
  <si>
    <t>Câştigătoare 8 în runda 2</t>
  </si>
  <si>
    <t>Fituesi 8 i xhiros s� dyt�</t>
  </si>
  <si>
    <t>Drugi krug 8 pobjednik</t>
  </si>
  <si>
    <t>Четвертьфиналист 8</t>
  </si>
  <si>
    <t>Чвертьфіналіст 8</t>
  </si>
  <si>
    <t>İkinci Maçlar (8) Galibi</t>
  </si>
  <si>
    <t>İkinci Tur (8) Qalibi</t>
  </si>
  <si>
    <t>Đội thắng trận 8 vòng 2</t>
  </si>
  <si>
    <t>Pemenang 8 Putaran II</t>
  </si>
  <si>
    <t>Mzunguko wa Pili - Mshindi 8</t>
  </si>
  <si>
    <t>Удаах үеийн 8-р Ялагч</t>
  </si>
  <si>
    <t>ผู้ชนะรอบ 16 ทีม ทีมที่ 8</t>
  </si>
  <si>
    <t>ދެވަނަ ބުރުން އެއްވަނަ 8</t>
  </si>
  <si>
    <t>இரண்டாவது சுற்று வெற்றி அணி 8</t>
  </si>
  <si>
    <t>שלב שני מנצח 8</t>
  </si>
  <si>
    <t>الفائز من الدور الثاني مباراة 8</t>
  </si>
  <si>
    <t>برنده مرحله دوم 8</t>
  </si>
  <si>
    <t>هه‌شته‌می خولی دووه‌م</t>
  </si>
  <si>
    <t>دوسرا راونڈ فاتح  8</t>
  </si>
  <si>
    <t>1/8 決賽 (8) 優勝</t>
  </si>
  <si>
    <t>1/8 决赛 (8) 优胜</t>
  </si>
  <si>
    <t>決勝トーナメント ８戦目勝者</t>
  </si>
  <si>
    <t>2회전 8 경기 승자</t>
  </si>
  <si>
    <t>Quarter Final 1 Winner</t>
  </si>
  <si>
    <t>Sieger Viertelfinale 1</t>
  </si>
  <si>
    <t>Vainqueur du Quart de Finale 1</t>
  </si>
  <si>
    <t>Primer semifinalista</t>
  </si>
  <si>
    <t>Vincitrice Quarto di Finale 1</t>
  </si>
  <si>
    <t>Quartas de Final 1 Vencedor</t>
  </si>
  <si>
    <t>Kwartfinales 1 Winnaar</t>
  </si>
  <si>
    <t>Vinner kvartfinale 1</t>
  </si>
  <si>
    <t>Gw�nner Viertufinal 1</t>
  </si>
  <si>
    <t>Kvartsfinal 1 vinnare</t>
  </si>
  <si>
    <t>Veierelsfinal 1 Gewenner</t>
  </si>
  <si>
    <t>Kvartfinale Vinder 1</t>
  </si>
  <si>
    <t>Προημιτελικά Νικητής 1</t>
  </si>
  <si>
    <t>Zwycięzca Ćwierćfinału 1</t>
  </si>
  <si>
    <t>Победител четвъртфинал 1</t>
  </si>
  <si>
    <t>1. negyeddöntő győztese</t>
  </si>
  <si>
    <t>Četvrtfinale 1 Pobjednik</t>
  </si>
  <si>
    <t>Четвртфинале 1 Победник</t>
  </si>
  <si>
    <t>Čtvrtfinále 1 Vítěz</t>
  </si>
  <si>
    <t>Štvrťfinále 1 Víťaz</t>
  </si>
  <si>
    <t>Četrtfinale 1 Zmagovalec</t>
  </si>
  <si>
    <t>Câştigătoare 1 în Sfert de finală</t>
  </si>
  <si>
    <t>Fituesi 1 i �erekfinales</t>
  </si>
  <si>
    <t>Četvrtfinale 1 pobjednik</t>
  </si>
  <si>
    <t>Полуфиналист 1</t>
  </si>
  <si>
    <t>Півфіналіст 1</t>
  </si>
  <si>
    <t>�eyrek Final (1) Galibi</t>
  </si>
  <si>
    <t>Çərək Final (1) Qalibi</t>
  </si>
  <si>
    <t>Đội thắng trận tứ kết 1</t>
  </si>
  <si>
    <t>Pemenang 1 Perempat Final</t>
  </si>
  <si>
    <t>Robo Fainali - Mshindi 1</t>
  </si>
  <si>
    <t>Шөвгийн наймын 1-р Ялагч</t>
  </si>
  <si>
    <t>ผู้ชนะรอบก่อนรองชนะเลิศ 1</t>
  </si>
  <si>
    <t>ކުއާޓަރ ފައިނަލް އިން އެއްވަނަ 1</t>
  </si>
  <si>
    <t>காலிறுதி வெற்றி அணி 1</t>
  </si>
  <si>
    <t>רבע גמר מנצח 1</t>
  </si>
  <si>
    <t>الفائز من ربع النهائي مباراة 1</t>
  </si>
  <si>
    <t>برنده یک چهارم نهائی 1</t>
  </si>
  <si>
    <t>یه‌که‌می چواره‌کی کۆتایی</t>
  </si>
  <si>
    <t>کوارٹر فاینل ۱ فاتح</t>
  </si>
  <si>
    <t>1/4 決賽 (1) 優勝</t>
  </si>
  <si>
    <t>1/4 决赛 (1) 优胜</t>
  </si>
  <si>
    <t>準々決勝　１戦目勝者</t>
  </si>
  <si>
    <t>준준결승 1 경기 승자</t>
  </si>
  <si>
    <t>Quarter Final 2 Winner</t>
  </si>
  <si>
    <t>Sieger Viertelfinale 2</t>
  </si>
  <si>
    <t>Vainqueur du Quart de Finale 2</t>
  </si>
  <si>
    <t>Segundo semifinalista</t>
  </si>
  <si>
    <t>Vincitrice Quarto di Finale 2</t>
  </si>
  <si>
    <t>Quartas de Final 2 Vencedor</t>
  </si>
  <si>
    <t>Kwartfinales 2 Winnaar</t>
  </si>
  <si>
    <t>Vinner kvartfinale 2</t>
  </si>
  <si>
    <t>Gw�nner Viertufinal 2</t>
  </si>
  <si>
    <t>Kvartsfinal 2 vinnare</t>
  </si>
  <si>
    <t>Veierelsfinal 2 Gewenner</t>
  </si>
  <si>
    <t>Kvartfinale Vinder 2</t>
  </si>
  <si>
    <t>Προημιτελικά Νικητής 2</t>
  </si>
  <si>
    <t>Zwycięzca Ćwierćfinału 2</t>
  </si>
  <si>
    <t>Победител четвъртфинал 2</t>
  </si>
  <si>
    <t>2. negyeddöntő győztese</t>
  </si>
  <si>
    <t>Četvrtfinale 2 Pobjednik</t>
  </si>
  <si>
    <t>Четвртфинале 2 Победник</t>
  </si>
  <si>
    <t>Čtvrtfinále 2 Vítěz</t>
  </si>
  <si>
    <t>Štvrťfinále 2 Víťaz</t>
  </si>
  <si>
    <t>Četrfinale  2 Zmagovalec</t>
  </si>
  <si>
    <t>Câştigătoare 2 în Sfert de finală</t>
  </si>
  <si>
    <t>Fituesi 2 i �erekfinales</t>
  </si>
  <si>
    <t>Četvrtfinale 2 pobjednik</t>
  </si>
  <si>
    <t>Полуфиналист 2</t>
  </si>
  <si>
    <t>Півфіналіст 2</t>
  </si>
  <si>
    <t>�eyrek Final (2) Galibi</t>
  </si>
  <si>
    <t>Çərək Final (2) Qalibi</t>
  </si>
  <si>
    <t>Đội thắng trận tứ kết 2</t>
  </si>
  <si>
    <t>Pemenang 2 Perempat Final</t>
  </si>
  <si>
    <t>Robo Fainali - Mshindi 2</t>
  </si>
  <si>
    <t>Шөвгийн наймын 2-р Ялагч</t>
  </si>
  <si>
    <t>ผู้ชนะรอบก่อนรองชนะเลิศ 2</t>
  </si>
  <si>
    <t>ކުއާޓަރ ފައިނަލް އިން އެއްވަނަ 2</t>
  </si>
  <si>
    <t>காலிறுதி வெற்றி அணி 2</t>
  </si>
  <si>
    <t>רבע גמר מנצח 2</t>
  </si>
  <si>
    <t>الفائز من ربع النهائي مباراة 2</t>
  </si>
  <si>
    <t>برنده یک چهارم نهائی 2</t>
  </si>
  <si>
    <t>دووه‌می چواره‌کی کۆتایی</t>
  </si>
  <si>
    <t>کوارٹر فاینل ۲ فاتح</t>
  </si>
  <si>
    <t>1/4 決賽 (2) 優勝</t>
  </si>
  <si>
    <t>1/4 决赛 (2) 优胜</t>
  </si>
  <si>
    <t>準々決勝　２戦目勝者</t>
  </si>
  <si>
    <t>준준결승 2 경기 승자</t>
  </si>
  <si>
    <t>Quarter Final 3 Winner</t>
  </si>
  <si>
    <t>Sieger Viertelfinale 3</t>
  </si>
  <si>
    <t>Vainqueur du Quart de Finale 3</t>
  </si>
  <si>
    <t>Tercer semifinalista</t>
  </si>
  <si>
    <t>Vincitrice Quarto di Finale 3</t>
  </si>
  <si>
    <t>Quartas de Final 3 Vencedor</t>
  </si>
  <si>
    <t>Kwartfinales 3 Winnaar</t>
  </si>
  <si>
    <t>Vinner kvartfinale 3</t>
  </si>
  <si>
    <t>Gw�nner Viertufinal 3</t>
  </si>
  <si>
    <t>Kvartsfinal 3 vinnare</t>
  </si>
  <si>
    <t>Veierelsfinal 3 Gewenner</t>
  </si>
  <si>
    <t>Kvartfinale Vinder 3</t>
  </si>
  <si>
    <t>Προημιτελικά Νικητής 3</t>
  </si>
  <si>
    <t>Zwycięzca Ćwierćfinału 3</t>
  </si>
  <si>
    <t>Победител четвъртфинал 3</t>
  </si>
  <si>
    <t>3. negyeddöntő győztese</t>
  </si>
  <si>
    <t>Četvrtfinale 3 Pobjednik</t>
  </si>
  <si>
    <t>Четвртфинале 3 Победник</t>
  </si>
  <si>
    <t>Čtvrtfinále 3 Vítěz</t>
  </si>
  <si>
    <t>Štvrťfinále 3 Víťaz</t>
  </si>
  <si>
    <t>Četrtfinale 3 Zmagovalec</t>
  </si>
  <si>
    <t>Câştigătoare 3 în Sfert de finală</t>
  </si>
  <si>
    <t>Fituesi 3 i �erekfinales</t>
  </si>
  <si>
    <t>Četvrtfinale 3 pobjednik</t>
  </si>
  <si>
    <t>Полуфиналист 3</t>
  </si>
  <si>
    <t>Півфіналіст 3</t>
  </si>
  <si>
    <t>�eyrek Final (3) Galibi</t>
  </si>
  <si>
    <t>Çərək Final (3) Qalibi</t>
  </si>
  <si>
    <t>Đội thắng trận tứ kết 3</t>
  </si>
  <si>
    <t>Pemenang 3 Perempat Final</t>
  </si>
  <si>
    <t>Robo Fainali - Mshindi 3</t>
  </si>
  <si>
    <t>Шөвгийн наймын 3-р Ялагч</t>
  </si>
  <si>
    <t>ผู้ชนะรอบก่อนรองชนะเลิศ 3</t>
  </si>
  <si>
    <t>ކުއާޓަރ ފައިނަލް އިން އެއްވަނަ 3</t>
  </si>
  <si>
    <t>רבע גמר מנצח 3</t>
  </si>
  <si>
    <t>الفائز من ربع النهائي مباراة 3</t>
  </si>
  <si>
    <t>برنده یک چهارم نهائی 3</t>
  </si>
  <si>
    <t>سێیه‌می چواره‌کی کۆتایی</t>
  </si>
  <si>
    <t>کوارٹر فاینل ۳ فاتح</t>
  </si>
  <si>
    <t>1/4 決賽 (3) 優勝</t>
  </si>
  <si>
    <t>1/4 决赛 (3) 优胜</t>
  </si>
  <si>
    <t>準々決勝　３戦目勝者</t>
  </si>
  <si>
    <t>준준결승 3 경기 승자</t>
  </si>
  <si>
    <t>Quarter Final 4 Winner</t>
  </si>
  <si>
    <t>Sieger Viertelfinale 4</t>
  </si>
  <si>
    <t>Vainqueur du Quart de Finale 4</t>
  </si>
  <si>
    <t>Cuarto semifinalista</t>
  </si>
  <si>
    <t>Vincitrice Quarto di Finale 4</t>
  </si>
  <si>
    <t>Quartas de Final 4 Vencedor</t>
  </si>
  <si>
    <t>Kwartfinales 4 Winnaar</t>
  </si>
  <si>
    <t>Vinner kvartfinale 4</t>
  </si>
  <si>
    <t>Gw�nner Viertufinal 4</t>
  </si>
  <si>
    <t>Kvartsfinal 4 vinnare</t>
  </si>
  <si>
    <t>Veierelsfinal 4 Gewenner</t>
  </si>
  <si>
    <t>Kvartfinale Vinder 4</t>
  </si>
  <si>
    <t>Προημιτελικά Νικητής 4</t>
  </si>
  <si>
    <t>Zwycięzca Ćwierćfinału 4</t>
  </si>
  <si>
    <t>Победител четвъртфинал 4</t>
  </si>
  <si>
    <t>4. negyeddöntő győztese</t>
  </si>
  <si>
    <t>Četvrtfinale 4 Pobjednik</t>
  </si>
  <si>
    <t>Четвртфинале 4 Победник</t>
  </si>
  <si>
    <t>Čtvrtfinále 4 Vítěz</t>
  </si>
  <si>
    <t>Štvrťfinále 4 Víťaz</t>
  </si>
  <si>
    <t>Četrtfinale 4 Zmagovalec</t>
  </si>
  <si>
    <t>Câştigătoare 4 în Sfert de finală</t>
  </si>
  <si>
    <t>Fituesi 4 i �erekfinales</t>
  </si>
  <si>
    <t>Četvrtfinale 4 pobjednik</t>
  </si>
  <si>
    <t>Полуфиналист 4</t>
  </si>
  <si>
    <t>Півфіналіст 4</t>
  </si>
  <si>
    <t>�eyrek Final (4) Galibi</t>
  </si>
  <si>
    <t>Çərək Final (4) Qalibi</t>
  </si>
  <si>
    <t>Đội thắng trận tứ kết 4</t>
  </si>
  <si>
    <t>Pemenang 4 Perempat Final</t>
  </si>
  <si>
    <t>Robo Fainali - Mshindi 4</t>
  </si>
  <si>
    <t>Шөвгийн наймын 4-р Ялагч</t>
  </si>
  <si>
    <t>ผู้ชนะรอบก่อนรองชนะเลิศ 4</t>
  </si>
  <si>
    <t>ކުއާޓަރ ފައިނަލް އިން އެއްވަނަ 4</t>
  </si>
  <si>
    <t>காலிறுதி வெற்றி அணி 4</t>
  </si>
  <si>
    <t>רבע גמר מנצח 4</t>
  </si>
  <si>
    <t>الفائز من ربع النهائي مباراة 4</t>
  </si>
  <si>
    <t>برنده یک چهارم نهائی 4</t>
  </si>
  <si>
    <t>چواره‌می چواره‌کی کۆتایی</t>
  </si>
  <si>
    <t>کوارٹر فاینل 4 فاتح</t>
  </si>
  <si>
    <t>1/4 決賽 (4) 優勝</t>
  </si>
  <si>
    <t>1/4 决赛 (4) 优胜</t>
  </si>
  <si>
    <t>準々決勝　４戦目勝者</t>
  </si>
  <si>
    <t>준준결승 4 경기 승자</t>
  </si>
  <si>
    <t>Semi Final 1 Winner</t>
  </si>
  <si>
    <t>Sieger Halbfinale 1</t>
  </si>
  <si>
    <t>Vainqueur de la Demi-Finale 1</t>
  </si>
  <si>
    <t>Finalista</t>
  </si>
  <si>
    <t>Vincitrice Semi Finale 1</t>
  </si>
  <si>
    <t>Semifinal 1 Vencedor</t>
  </si>
  <si>
    <t>Halve Finale 1 Winnaar</t>
  </si>
  <si>
    <t>Vinner semifinale 1</t>
  </si>
  <si>
    <t>Gw�nner Haubfinal 1</t>
  </si>
  <si>
    <t>Semifinal 1 vinnare</t>
  </si>
  <si>
    <t>Halleffinal 1 Gewenner</t>
  </si>
  <si>
    <t>Semifinale Vinder 1</t>
  </si>
  <si>
    <t>Ημιτελικά Νικητής 1</t>
  </si>
  <si>
    <t>Zwycięzca Półfinału 1</t>
  </si>
  <si>
    <t>Победител полуфинал 1</t>
  </si>
  <si>
    <t>1. elődöntő győztese</t>
  </si>
  <si>
    <t>Polufinale 1 Pobjednik</t>
  </si>
  <si>
    <t>Полуфинале 1 Победник</t>
  </si>
  <si>
    <t>Semifinále 1 Vítěz</t>
  </si>
  <si>
    <t>Semifinále 1 Víťaz</t>
  </si>
  <si>
    <t>Polfinale    1 Zmagovalec</t>
  </si>
  <si>
    <t>Câştigătoare 1 în Semifinală</t>
  </si>
  <si>
    <t>Fituesi 1 i gjys�mfinales</t>
  </si>
  <si>
    <t>Polufinale 1 pobjednik</t>
  </si>
  <si>
    <t>Финалист 1</t>
  </si>
  <si>
    <t>Фіналіст 1</t>
  </si>
  <si>
    <t>Yarı Final (1) Galibi</t>
  </si>
  <si>
    <t>Yarım Final (1) Qalibi</t>
  </si>
  <si>
    <t>Đội thắng trận bán kết 1</t>
  </si>
  <si>
    <t>Pemenang 1 Semi Final</t>
  </si>
  <si>
    <t>Nusu Fainali - Mshindi 1</t>
  </si>
  <si>
    <t>Хагас Шувтаргын 1-р Ялагч</t>
  </si>
  <si>
    <t>ผู้ชนะรอบรองชนะเลิศ 1</t>
  </si>
  <si>
    <t>ސެމީ ފައިނަލް އިން އެއްވަނަ 1</t>
  </si>
  <si>
    <t>அரையிறுதி வெற்றி அணி 1</t>
  </si>
  <si>
    <t>חצי גמר מנצח 1</t>
  </si>
  <si>
    <t>الفائز من نصف النهائي مباراة 1</t>
  </si>
  <si>
    <t>برنده نیمه نهائی 1</t>
  </si>
  <si>
    <t>یه‌که‌می پێش کۆتایی</t>
  </si>
  <si>
    <t>سیمی فاینل ۱ فاتح</t>
  </si>
  <si>
    <t>半總決賽 (1) 優勝</t>
  </si>
  <si>
    <t>半总决赛 (1) 优胜</t>
  </si>
  <si>
    <t>準決勝　１戦目勝者</t>
  </si>
  <si>
    <t>준결승 1 경기 승자</t>
  </si>
  <si>
    <t>Semi Final 2 Winner</t>
  </si>
  <si>
    <t>Sieger Halbfinale 2</t>
  </si>
  <si>
    <t>Vainqueur de la Demi-Finale 2</t>
  </si>
  <si>
    <t>Vincitrice Semi Finale 2</t>
  </si>
  <si>
    <t>Semifinal 2 Vencedor</t>
  </si>
  <si>
    <t>Halve Finale 2 Winnaar</t>
  </si>
  <si>
    <t>Vinner semifinale 2</t>
  </si>
  <si>
    <t>Gw�nner Haubfinal 2</t>
  </si>
  <si>
    <t>Semifinal 2 vinnare</t>
  </si>
  <si>
    <t>Halleffinal 2 Gewenner</t>
  </si>
  <si>
    <t>Semifinale Vinder 2</t>
  </si>
  <si>
    <t>Ημιτελικά Νικητής 2</t>
  </si>
  <si>
    <t>Zwycięzca Półfinału 2</t>
  </si>
  <si>
    <t>Победител полуфинал 2</t>
  </si>
  <si>
    <t>2. elődöntő győztese</t>
  </si>
  <si>
    <t>Polufinale 2 Pobjednik</t>
  </si>
  <si>
    <t>Полуфинале 2 Победник</t>
  </si>
  <si>
    <t>Semifinále 2 Vítěz</t>
  </si>
  <si>
    <t>Semifinále 2 Víťaz</t>
  </si>
  <si>
    <t>Polfinale    2 Zmagovalec</t>
  </si>
  <si>
    <t>Câştigătoare 2 în Semifinală</t>
  </si>
  <si>
    <t>Fituesi 2 i gjys�mfinales</t>
  </si>
  <si>
    <t>Polufinale 2 pobjednik</t>
  </si>
  <si>
    <t>Финалист 2</t>
  </si>
  <si>
    <t>Фіналіст 2</t>
  </si>
  <si>
    <t>Yarı Final (2) Galibi</t>
  </si>
  <si>
    <t>Yarım Final (2) Qalibi</t>
  </si>
  <si>
    <t>Đội thắng trận bán kết 2</t>
  </si>
  <si>
    <t>Pemenang 2 Semi Final</t>
  </si>
  <si>
    <t>Nusu Fainali - Mshindi 2</t>
  </si>
  <si>
    <t>Хагас Шувтаргын 2-р Ялагч</t>
  </si>
  <si>
    <t>ผู้ชนะรอบรองชนะเลิศ 2</t>
  </si>
  <si>
    <t>ސެމީ ފައިނަލް އިން އެއްވަނަ 2</t>
  </si>
  <si>
    <t>அரையிறுதி வெற்றி அணி 2</t>
  </si>
  <si>
    <t>חצי גמר מנצח 2</t>
  </si>
  <si>
    <t>الفائز من نصف النهائي مباراة 2</t>
  </si>
  <si>
    <t>برنده نیمه نهائی 2</t>
  </si>
  <si>
    <t>دووه‌می پێش کۆتایی</t>
  </si>
  <si>
    <t>سیمی فاینل ۲ فاتح</t>
  </si>
  <si>
    <t>半總決賽 (2) 優勝</t>
  </si>
  <si>
    <t>半总决赛 (2) 优胜</t>
  </si>
  <si>
    <t>準決勝　２戦目勝者</t>
  </si>
  <si>
    <t>준결승 2 경기 승자</t>
  </si>
  <si>
    <t>Semi Final 1 Loser</t>
  </si>
  <si>
    <t>Verlierer Halbfinale 1</t>
  </si>
  <si>
    <t>Perdant de la Demi-Finale 1</t>
  </si>
  <si>
    <t>Perdedor semifinal</t>
  </si>
  <si>
    <t>Perdente Semi Finale 1</t>
  </si>
  <si>
    <t>Semifinal 1 Perdedor</t>
  </si>
  <si>
    <t>Halve Finale 1 Verliezer</t>
  </si>
  <si>
    <t>Taper semifinale 1</t>
  </si>
  <si>
    <t>Verl��rer Haubfinal 1</t>
  </si>
  <si>
    <t>Semifinal 1 f�rlorare</t>
  </si>
  <si>
    <t>Halleffinal 1 Verleierer</t>
  </si>
  <si>
    <t>Semifinale Taber 1</t>
  </si>
  <si>
    <t>Ημιτελικά Ηττημένος 1</t>
  </si>
  <si>
    <t>Przegrany Półfinału 1</t>
  </si>
  <si>
    <t>Загубил полуфинал 1</t>
  </si>
  <si>
    <t>1. elődöntő vesztese</t>
  </si>
  <si>
    <t>Polufinale 1 Poraženi</t>
  </si>
  <si>
    <t>Полуфинале 1 Поражени</t>
  </si>
  <si>
    <t>Semifinále 1 Poražený</t>
  </si>
  <si>
    <t>Semifin�le 1 Porazen�</t>
  </si>
  <si>
    <t>Polfinale    1 Poraženec</t>
  </si>
  <si>
    <t>Învinsă 1 în Semifinală</t>
  </si>
  <si>
    <t>Humb�si 1 i gjys�mfinales</t>
  </si>
  <si>
    <t>Polufinale 1 poraženi</t>
  </si>
  <si>
    <t>Проигравший в полуфинале 1</t>
  </si>
  <si>
    <t>Програвший в півфіналі 1</t>
  </si>
  <si>
    <t>Yarı Final (1) Mağlubu</t>
  </si>
  <si>
    <t>Yarım Final (1) Məğlubu</t>
  </si>
  <si>
    <t>Đội thua trận bán kết 1</t>
  </si>
  <si>
    <t>Kalah 1 Semi Final</t>
  </si>
  <si>
    <t>Nusu Fainali - Mshindwa 1</t>
  </si>
  <si>
    <t>Хагас Шувтаргын 1-р Хожигдогч</t>
  </si>
  <si>
    <t>ผู้แพ้รอบรองชนะเลิศ 1</t>
  </si>
  <si>
    <t>ސެމީ ފައިނަލް އިން ބަލިވި 1</t>
  </si>
  <si>
    <t>அரையிறுதி தோற்ற அணி 1</t>
  </si>
  <si>
    <t>חצי גמר מפסיד 1</t>
  </si>
  <si>
    <t>الخاسر من نصف النهائي مباراة 1</t>
  </si>
  <si>
    <t>بازنده نیمه نهائی 1</t>
  </si>
  <si>
    <t>دۆڕاوی یه‌که‌می پێش کۆتایی</t>
  </si>
  <si>
    <t>سیمی فاینل ۱ ہارنے والی</t>
  </si>
  <si>
    <t>半總決賽 (1) 落敗</t>
  </si>
  <si>
    <t>半总决赛 (1) 落败</t>
  </si>
  <si>
    <t>準決勝　１戦目負者</t>
  </si>
  <si>
    <t>준결승 1 경기 패자</t>
  </si>
  <si>
    <t>Semi Final 2 Loser</t>
  </si>
  <si>
    <t>Verlierer Halbfinale 2</t>
  </si>
  <si>
    <t>Perdant de la Demi-Finale 2</t>
  </si>
  <si>
    <t>Perdente Semi Finale 2</t>
  </si>
  <si>
    <t>Semifinal 2 Perdedor</t>
  </si>
  <si>
    <t>Halve Finale 2 Verliezer</t>
  </si>
  <si>
    <t>Taper semifinale 2</t>
  </si>
  <si>
    <t>Verl��rer Haubfinal 2</t>
  </si>
  <si>
    <t>Semifinal 2 f�rlorare</t>
  </si>
  <si>
    <t>Halleffinal 2 Verleierer</t>
  </si>
  <si>
    <t>Semifinale Taber 2</t>
  </si>
  <si>
    <t>Ημιτελικά Ηττημένος 2</t>
  </si>
  <si>
    <t>Przegrany Półfinału 2</t>
  </si>
  <si>
    <t>Загубил полуфинал 2</t>
  </si>
  <si>
    <t>2. elődöntő vesztese</t>
  </si>
  <si>
    <t>Polufinale 2 Poraženi</t>
  </si>
  <si>
    <t>Полуфинале 2 Поражени</t>
  </si>
  <si>
    <t>Semifinále 2 Poražený</t>
  </si>
  <si>
    <t>Semifin�le 2 Porazen�</t>
  </si>
  <si>
    <t>Învinsă 2 în Semifinală</t>
  </si>
  <si>
    <t>Humb�si 2 i gjys�mfinales</t>
  </si>
  <si>
    <t>Polufinale 2 poraženi</t>
  </si>
  <si>
    <t>Проигравший в полуфинале 2</t>
  </si>
  <si>
    <t>Програвший в півфіналі 2</t>
  </si>
  <si>
    <t>Yarı Final (2) Mağlubu</t>
  </si>
  <si>
    <t>Yarım Final (2) Məğlubu</t>
  </si>
  <si>
    <t>Đội thua trận bán kết 2</t>
  </si>
  <si>
    <t>Kalah 2 Semi Final</t>
  </si>
  <si>
    <t>Nusu Fainali - Mshindwa 2</t>
  </si>
  <si>
    <t>Хагас Шувтаргын 2-р Хожигдогч</t>
  </si>
  <si>
    <t>ผู้แพ้รอบรองชนะเลิศ 2</t>
  </si>
  <si>
    <t>ސެމީ ފައިނަލް އިން ބަލިވި 2</t>
  </si>
  <si>
    <t>அரையிறுதி தோற்ற அணி 2</t>
  </si>
  <si>
    <t>חצי גמר מפסיד 2</t>
  </si>
  <si>
    <t>الخاسر من نصف النهائي مباراة 2</t>
  </si>
  <si>
    <t>بازنده نیمه نهائی 2</t>
  </si>
  <si>
    <t>دۆڕاوی دووه‌می پێش کۆتایی</t>
  </si>
  <si>
    <t>سیمی فاینل ۲ ہارنے والی</t>
  </si>
  <si>
    <t>半總決賽 (2) 落敗</t>
  </si>
  <si>
    <t>半总决赛 (2) 落败</t>
  </si>
  <si>
    <t>準決勝　２戦目負者</t>
  </si>
  <si>
    <t>준결승 2 경기 패자</t>
  </si>
  <si>
    <t>Jun</t>
  </si>
  <si>
    <t>Juin</t>
  </si>
  <si>
    <t>Giu</t>
  </si>
  <si>
    <t>Juni</t>
  </si>
  <si>
    <t xml:space="preserve">Ιουνίου </t>
  </si>
  <si>
    <t>Cze</t>
  </si>
  <si>
    <t>Юни</t>
  </si>
  <si>
    <t>J�n</t>
  </si>
  <si>
    <t>Lip</t>
  </si>
  <si>
    <t>Јун</t>
  </si>
  <si>
    <t>Červen</t>
  </si>
  <si>
    <t>Junij</t>
  </si>
  <si>
    <t>Iun</t>
  </si>
  <si>
    <t>Qershor</t>
  </si>
  <si>
    <t>Июня</t>
  </si>
  <si>
    <t>Чер</t>
  </si>
  <si>
    <t>Haz</t>
  </si>
  <si>
    <t>İyun</t>
  </si>
  <si>
    <t>Th�ng 6</t>
  </si>
  <si>
    <t>Зургаа</t>
  </si>
  <si>
    <t>มิ.ย.</t>
  </si>
  <si>
    <t>ޖޫން</t>
  </si>
  <si>
    <t>ஜூன்</t>
  </si>
  <si>
    <t>יוני</t>
  </si>
  <si>
    <t>يونيو</t>
  </si>
  <si>
    <t>ژوئن</t>
  </si>
  <si>
    <t>حوزه‌یران</t>
  </si>
  <si>
    <t>جون</t>
  </si>
  <si>
    <t>六月</t>
  </si>
  <si>
    <t>６月</t>
  </si>
  <si>
    <t>6월</t>
  </si>
  <si>
    <t>Jul</t>
  </si>
  <si>
    <t>Juil</t>
  </si>
  <si>
    <t>Lug</t>
  </si>
  <si>
    <t>Juli</t>
  </si>
  <si>
    <t>Ιουλίου</t>
  </si>
  <si>
    <t>Юли</t>
  </si>
  <si>
    <t>J�l</t>
  </si>
  <si>
    <t>Srp</t>
  </si>
  <si>
    <t>Јул</t>
  </si>
  <si>
    <t>Červenec</t>
  </si>
  <si>
    <t>Julij</t>
  </si>
  <si>
    <t>Iul</t>
  </si>
  <si>
    <t>Korrik</t>
  </si>
  <si>
    <t>Июля</t>
  </si>
  <si>
    <t>Лип</t>
  </si>
  <si>
    <t>Tem</t>
  </si>
  <si>
    <t>İyul</t>
  </si>
  <si>
    <t>Th�ng 7</t>
  </si>
  <si>
    <t>Julai</t>
  </si>
  <si>
    <t>Долоо</t>
  </si>
  <si>
    <t>ก.ค.</t>
  </si>
  <si>
    <t>ޖުލައި</t>
  </si>
  <si>
    <t>ஜூலை</t>
  </si>
  <si>
    <t>יולי</t>
  </si>
  <si>
    <t>يوليو</t>
  </si>
  <si>
    <t>جولای</t>
  </si>
  <si>
    <t>ته‌مموز</t>
  </si>
  <si>
    <t>جولایی</t>
  </si>
  <si>
    <t>七月</t>
  </si>
  <si>
    <t>７月</t>
  </si>
  <si>
    <t>7월</t>
  </si>
  <si>
    <t>Last update: Jun 15, 2006</t>
  </si>
  <si>
    <t>Visit home page</t>
  </si>
  <si>
    <t>besuche Homepage</t>
  </si>
  <si>
    <t>Visitez notre site</t>
  </si>
  <si>
    <t>Visita la nostra hom page</t>
  </si>
  <si>
    <t xml:space="preserve">Visite a p�gina pessoal </t>
  </si>
  <si>
    <t>Bezoek onze homepagina</t>
  </si>
  <si>
    <t>Bes�k hjemmeside</t>
  </si>
  <si>
    <t>Bsuech �isi homepage</t>
  </si>
  <si>
    <t>Bes�k hemsida</t>
  </si>
  <si>
    <t>Besiicht eis Home Page</t>
  </si>
  <si>
    <t>Bes�g Hjemmesiden</t>
  </si>
  <si>
    <t>Επισκεπτείτε την ιστοσελίδα μας:</t>
  </si>
  <si>
    <t>Odwiedź stronę domową</t>
  </si>
  <si>
    <t xml:space="preserve">Начална страница </t>
  </si>
  <si>
    <t>Hivatalos weblap megtekint�se</t>
  </si>
  <si>
    <t>Posjetite naše stranice</t>
  </si>
  <si>
    <t>Посетите насловну страну</t>
  </si>
  <si>
    <t>Navštivte domovskou stránku</t>
  </si>
  <si>
    <t>Navštív domovskú stránku</t>
  </si>
  <si>
    <t>Obiščite domačo stran</t>
  </si>
  <si>
    <t>Vizitaţi pagina</t>
  </si>
  <si>
    <t>Vizitoni faqen</t>
  </si>
  <si>
    <t>Posjetite našu Web stranicu</t>
  </si>
  <si>
    <t>Посетите домашнюю страницу</t>
  </si>
  <si>
    <t>До домашньої сторінки</t>
  </si>
  <si>
    <t>Ana sayfayı ziyaret edin</t>
  </si>
  <si>
    <t>Ana səhifəyə baş çəkin</t>
  </si>
  <si>
    <t>Ghé thăm trang chủ</t>
  </si>
  <si>
    <t>Kunjungi home page</t>
  </si>
  <si>
    <t>Itembelee Tovuti Yetu</t>
  </si>
  <si>
    <t>Манай хуудас руу зочлох</t>
  </si>
  <si>
    <t>เยี่ยมชมเว็บไซต์</t>
  </si>
  <si>
    <t>ހޯމް ޕޭޖަށް ޒިޔާރަތްކޮށްލައްވާ</t>
  </si>
  <si>
    <t>இணையப்பக்கத்திற்கு வரவும்</t>
  </si>
  <si>
    <t>בקרו בדף הבית</t>
  </si>
  <si>
    <t xml:space="preserve">زُر موقعنا </t>
  </si>
  <si>
    <t>نمایش صفه اصلی</t>
  </si>
  <si>
    <t>سه‌ردانی  شێروان.نێت بکه‌ :</t>
  </si>
  <si>
    <t>ہوم پیج وزٹ کریں</t>
  </si>
  <si>
    <t>主頁</t>
  </si>
  <si>
    <t>主页</t>
  </si>
  <si>
    <t>ホームページ</t>
  </si>
  <si>
    <t>홈페이지 방문</t>
  </si>
  <si>
    <t>Pozicija</t>
  </si>
  <si>
    <t>தர வரிசை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</si>
</sst>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d\ mmm;@"/>
    <numFmt numFmtId="165" formatCode="h:mm;@"/>
    <numFmt numFmtId="166" formatCode="[$-409]d\-mmm;@"/>
  </numFmts>
  <fonts count="27">
    <font>
      <sz val="8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20"/>
      <name val="Tahoma"/>
      <family val="2"/>
    </font>
    <font>
      <sz val="10"/>
      <color indexed="12"/>
      <name val="Tahoma"/>
      <family val="2"/>
    </font>
    <font>
      <sz val="9"/>
      <name val="Tahoma"/>
      <family val="2"/>
      <charset val="204"/>
    </font>
    <font>
      <sz val="8"/>
      <color indexed="55"/>
      <name val="Tahoma"/>
      <family val="2"/>
    </font>
    <font>
      <b/>
      <sz val="8"/>
      <name val="Arial CYR"/>
      <charset val="204"/>
    </font>
    <font>
      <sz val="8"/>
      <color indexed="8"/>
      <name val="Arial"/>
      <family val="2"/>
    </font>
    <font>
      <sz val="10"/>
      <name val="Tahoma"/>
      <family val="2"/>
    </font>
    <font>
      <sz val="10"/>
      <color indexed="63"/>
      <name val="Tahoma"/>
      <family val="2"/>
    </font>
    <font>
      <sz val="8"/>
      <color indexed="8"/>
      <name val="Arial Cyr"/>
      <charset val="238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name val="細明體"/>
      <family val="3"/>
      <charset val="136"/>
    </font>
    <font>
      <sz val="9"/>
      <name val="SimSun"/>
      <charset val="134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12"/>
      <name val="Tahoma"/>
      <family val="2"/>
    </font>
    <font>
      <sz val="8"/>
      <name val="돋움"/>
      <family val="3"/>
      <charset val="129"/>
    </font>
    <font>
      <sz val="8"/>
      <color indexed="8"/>
      <name val="돋움"/>
      <family val="3"/>
      <charset val="129"/>
    </font>
    <font>
      <sz val="9"/>
      <name val="Tahoma"/>
      <family val="2"/>
    </font>
    <font>
      <sz val="10"/>
      <color indexed="9"/>
      <name val="Tahoma"/>
      <family val="2"/>
    </font>
    <font>
      <sz val="10"/>
      <color indexed="12"/>
      <name val="Tahoma"/>
      <family val="2"/>
      <charset val="204"/>
    </font>
    <font>
      <b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0" fontId="3" fillId="3" borderId="11" xfId="0" applyFont="1" applyFill="1" applyBorder="1" applyAlignment="1" applyProtection="1">
      <alignment horizontal="center" vertical="center" shrinkToFit="1"/>
      <protection hidden="1"/>
    </xf>
  </cellStyleXfs>
  <cellXfs count="8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0" fontId="8" fillId="0" borderId="0" xfId="1" applyFont="1" applyFill="1" applyBorder="1" applyAlignment="1" applyProtection="1">
      <alignment horizontal="left"/>
      <protection hidden="1"/>
    </xf>
    <xf numFmtId="0" fontId="8" fillId="0" borderId="0" xfId="1" applyFont="1" applyFill="1" applyBorder="1" applyAlignment="1" applyProtection="1">
      <alignment horizontal="right"/>
      <protection hidden="1"/>
    </xf>
    <xf numFmtId="0" fontId="9" fillId="4" borderId="0" xfId="0" applyFont="1" applyFill="1" applyAlignment="1">
      <alignment horizontal="center"/>
    </xf>
    <xf numFmtId="0" fontId="1" fillId="0" borderId="0" xfId="0" applyFont="1"/>
    <xf numFmtId="0" fontId="6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 applyProtection="1">
      <alignment horizontal="left" vertical="center" shrinkToFit="1"/>
      <protection hidden="1"/>
    </xf>
    <xf numFmtId="0" fontId="11" fillId="0" borderId="0" xfId="0" applyFont="1" applyAlignment="1" applyProtection="1">
      <alignment horizontal="right" vertical="center" shrinkToFit="1"/>
      <protection hidden="1"/>
    </xf>
    <xf numFmtId="166" fontId="11" fillId="0" borderId="0" xfId="0" applyNumberFormat="1" applyFont="1" applyBorder="1" applyAlignment="1" applyProtection="1">
      <alignment horizontal="right" vertical="center" shrinkToFit="1"/>
      <protection hidden="1"/>
    </xf>
    <xf numFmtId="165" fontId="11" fillId="0" borderId="0" xfId="0" applyNumberFormat="1" applyFont="1" applyBorder="1" applyAlignment="1" applyProtection="1">
      <alignment horizontal="center" vertical="center" shrinkToFit="1"/>
      <protection hidden="1"/>
    </xf>
    <xf numFmtId="166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166" fontId="11" fillId="0" borderId="0" xfId="0" applyNumberFormat="1" applyFont="1" applyAlignment="1" applyProtection="1">
      <alignment horizontal="right" vertical="center" shrinkToFit="1"/>
      <protection hidden="1"/>
    </xf>
    <xf numFmtId="0" fontId="13" fillId="0" borderId="0" xfId="0" applyFont="1"/>
    <xf numFmtId="0" fontId="14" fillId="4" borderId="0" xfId="0" applyFont="1" applyFill="1" applyAlignment="1">
      <alignment horizontal="center"/>
    </xf>
    <xf numFmtId="0" fontId="15" fillId="0" borderId="0" xfId="0" applyFont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16" fillId="0" borderId="0" xfId="0" applyFont="1"/>
    <xf numFmtId="0" fontId="21" fillId="0" borderId="0" xfId="0" applyFont="1"/>
    <xf numFmtId="0" fontId="22" fillId="0" borderId="0" xfId="0" applyFont="1"/>
    <xf numFmtId="0" fontId="11" fillId="0" borderId="0" xfId="0" applyFont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5" borderId="8" xfId="0" applyFont="1" applyFill="1" applyBorder="1" applyAlignment="1" applyProtection="1">
      <alignment horizontal="center" vertical="center" shrinkToFit="1"/>
      <protection locked="0"/>
    </xf>
    <xf numFmtId="0" fontId="2" fillId="5" borderId="9" xfId="0" applyFont="1" applyFill="1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 hidden="1"/>
    </xf>
    <xf numFmtId="0" fontId="11" fillId="0" borderId="0" xfId="0" applyFont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 applyProtection="1">
      <alignment horizontal="right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7" fillId="0" borderId="0" xfId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3" fillId="3" borderId="12" xfId="0" applyFont="1" applyFill="1" applyBorder="1" applyAlignment="1" applyProtection="1">
      <alignment horizontal="center" vertical="center" shrinkToFit="1"/>
      <protection hidden="1"/>
    </xf>
    <xf numFmtId="0" fontId="3" fillId="4" borderId="11" xfId="0" applyFont="1" applyFill="1" applyBorder="1" applyAlignment="1" applyProtection="1">
      <alignment horizontal="center" vertical="center" shrinkToFit="1"/>
      <protection hidden="1"/>
    </xf>
    <xf numFmtId="0" fontId="3" fillId="4" borderId="12" xfId="0" applyFont="1" applyFill="1" applyBorder="1" applyAlignment="1" applyProtection="1">
      <alignment horizontal="center" vertical="center" shrinkToFit="1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11" xfId="0" applyNumberFormat="1" applyFon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2" borderId="7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 shrinkToFit="1"/>
      <protection hidden="1"/>
    </xf>
    <xf numFmtId="0" fontId="3" fillId="3" borderId="6" xfId="0" applyFont="1" applyFill="1" applyBorder="1" applyAlignment="1" applyProtection="1">
      <alignment horizontal="center" vertical="center" shrinkToFit="1"/>
      <protection hidden="1"/>
    </xf>
    <xf numFmtId="0" fontId="3" fillId="3" borderId="4" xfId="0" applyFont="1" applyFill="1" applyBorder="1" applyAlignment="1" applyProtection="1">
      <alignment horizontal="center" vertical="center" shrinkToFit="1"/>
      <protection hidden="1"/>
    </xf>
    <xf numFmtId="0" fontId="3" fillId="3" borderId="7" xfId="0" applyFont="1" applyFill="1" applyBorder="1" applyAlignment="1" applyProtection="1">
      <alignment horizontal="center" vertical="center" shrinkToFit="1"/>
      <protection hidden="1"/>
    </xf>
    <xf numFmtId="0" fontId="3" fillId="4" borderId="3" xfId="0" applyFont="1" applyFill="1" applyBorder="1" applyAlignment="1" applyProtection="1">
      <alignment horizontal="center" vertical="center" shrinkToFit="1"/>
      <protection hidden="1"/>
    </xf>
    <xf numFmtId="0" fontId="3" fillId="4" borderId="6" xfId="0" applyFont="1" applyFill="1" applyBorder="1" applyAlignment="1" applyProtection="1">
      <alignment horizontal="center" vertical="center" shrinkToFit="1"/>
      <protection hidden="1"/>
    </xf>
    <xf numFmtId="0" fontId="3" fillId="4" borderId="4" xfId="0" applyFont="1" applyFill="1" applyBorder="1" applyAlignment="1" applyProtection="1">
      <alignment horizontal="center" vertical="center" shrinkToFit="1"/>
      <protection hidden="1"/>
    </xf>
    <xf numFmtId="0" fontId="3" fillId="4" borderId="7" xfId="0" applyFont="1" applyFill="1" applyBorder="1" applyAlignment="1" applyProtection="1">
      <alignment horizontal="center" vertical="center" shrinkToFit="1"/>
      <protection hidden="1"/>
    </xf>
    <xf numFmtId="0" fontId="25" fillId="3" borderId="17" xfId="0" applyFont="1" applyFill="1" applyBorder="1" applyAlignment="1" applyProtection="1">
      <alignment horizontal="center" vertical="center"/>
      <protection hidden="1"/>
    </xf>
    <xf numFmtId="0" fontId="25" fillId="3" borderId="18" xfId="0" applyFont="1" applyFill="1" applyBorder="1" applyAlignment="1" applyProtection="1">
      <alignment horizontal="center" vertical="center"/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3" borderId="14" xfId="1" applyFont="1" applyFill="1" applyBorder="1" applyAlignment="1" applyProtection="1">
      <alignment horizontal="center" vertical="center" wrapText="1"/>
      <protection hidden="1"/>
    </xf>
    <xf numFmtId="0" fontId="20" fillId="3" borderId="15" xfId="1" applyFont="1" applyFill="1" applyBorder="1" applyAlignment="1" applyProtection="1">
      <alignment horizontal="center" vertical="center" wrapText="1"/>
      <protection hidden="1"/>
    </xf>
    <xf numFmtId="0" fontId="20" fillId="3" borderId="16" xfId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</cellXfs>
  <cellStyles count="1">
    <cellStyle name="Standaard" xfId="0" builtinId="0"/>
  </cellStyles>
  <dxfs count="1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61</xdr:row>
      <xdr:rowOff>123825</xdr:rowOff>
    </xdr:from>
    <xdr:to>
      <xdr:col>14</xdr:col>
      <xdr:colOff>180975</xdr:colOff>
      <xdr:row>79</xdr:row>
      <xdr:rowOff>95250</xdr:rowOff>
    </xdr:to>
    <xdr:pic>
      <xdr:nvPicPr>
        <xdr:cNvPr id="4096" name="Picture 2" descr="cup2006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0896600"/>
          <a:ext cx="243840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</xdr:row>
          <xdr:rowOff>57150</xdr:rowOff>
        </xdr:from>
        <xdr:to>
          <xdr:col>2</xdr:col>
          <xdr:colOff>57150</xdr:colOff>
          <xdr:row>5</xdr:row>
          <xdr:rowOff>114300</xdr:rowOff>
        </xdr:to>
        <xdr:sp macro="" textlink="">
          <xdr:nvSpPr>
            <xdr:cNvPr id="2048" name="GMT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</xdr:row>
          <xdr:rowOff>161925</xdr:rowOff>
        </xdr:from>
        <xdr:to>
          <xdr:col>15</xdr:col>
          <xdr:colOff>314325</xdr:colOff>
          <xdr:row>2</xdr:row>
          <xdr:rowOff>361950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4</xdr:row>
          <xdr:rowOff>57150</xdr:rowOff>
        </xdr:from>
        <xdr:to>
          <xdr:col>2</xdr:col>
          <xdr:colOff>895350</xdr:colOff>
          <xdr:row>5</xdr:row>
          <xdr:rowOff>114300</xdr:rowOff>
        </xdr:to>
        <xdr:sp macro="" textlink="">
          <xdr:nvSpPr>
            <xdr:cNvPr id="3127" name="ComboBox2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13" Type="http://schemas.openxmlformats.org/officeDocument/2006/relationships/control" Target="../activeX/activeX2.xml"/><Relationship Id="rId3" Type="http://schemas.openxmlformats.org/officeDocument/2006/relationships/hyperlink" Target="http://www.excely.com/football/fifa-2006-world-cup-tournament-schedule/" TargetMode="External"/><Relationship Id="rId7" Type="http://schemas.openxmlformats.org/officeDocument/2006/relationships/hyperlink" Target="http://www.excely.com/rugby/world-cup-schedule/" TargetMode="External"/><Relationship Id="rId12" Type="http://schemas.openxmlformats.org/officeDocument/2006/relationships/image" Target="../media/image1.emf"/><Relationship Id="rId2" Type="http://schemas.openxmlformats.org/officeDocument/2006/relationships/hyperlink" Target="http://www.excely.com/football/fifa-2006-world-cup-tournament-schedule/" TargetMode="External"/><Relationship Id="rId16" Type="http://schemas.openxmlformats.org/officeDocument/2006/relationships/image" Target="../media/image3.emf"/><Relationship Id="rId1" Type="http://schemas.openxmlformats.org/officeDocument/2006/relationships/hyperlink" Target="http://www.excely.com/football/fifa-2006-world-cup-tournament-schedule/" TargetMode="External"/><Relationship Id="rId6" Type="http://schemas.openxmlformats.org/officeDocument/2006/relationships/hyperlink" Target="http://www.excely.com/euro-2008/qualification-round-schedule/" TargetMode="External"/><Relationship Id="rId11" Type="http://schemas.openxmlformats.org/officeDocument/2006/relationships/control" Target="../activeX/activeX1.xml"/><Relationship Id="rId5" Type="http://schemas.openxmlformats.org/officeDocument/2006/relationships/hyperlink" Target="http://www.xtau.com/" TargetMode="External"/><Relationship Id="rId15" Type="http://schemas.openxmlformats.org/officeDocument/2006/relationships/control" Target="../activeX/activeX3.xm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excely.com/formula-one/world-championship-schedule/" TargetMode="External"/><Relationship Id="rId9" Type="http://schemas.openxmlformats.org/officeDocument/2006/relationships/drawing" Target="../drawings/drawing1.xml"/><Relationship Id="rId14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_1">
    <pageSetUpPr fitToPage="1"/>
  </sheetPr>
  <dimension ref="A1:IV90"/>
  <sheetViews>
    <sheetView showGridLines="0" tabSelected="1" zoomScaleNormal="100" workbookViewId="0">
      <selection sqref="A1:O1"/>
    </sheetView>
  </sheetViews>
  <sheetFormatPr defaultRowHeight="12.75"/>
  <cols>
    <col min="1" max="1" width="9.1640625" style="9" bestFit="1" customWidth="1"/>
    <col min="2" max="2" width="9.1640625" style="4" bestFit="1" customWidth="1"/>
    <col min="3" max="3" width="30" style="54" bestFit="1" customWidth="1"/>
    <col min="4" max="5" width="4" style="2" bestFit="1" customWidth="1"/>
    <col min="6" max="6" width="30" style="57" bestFit="1" customWidth="1"/>
    <col min="7" max="8" width="4" style="1" bestFit="1" customWidth="1"/>
    <col min="9" max="9" width="1.5" style="1" bestFit="1" customWidth="1"/>
    <col min="10" max="10" width="23.1640625" style="1" bestFit="1" customWidth="1"/>
    <col min="11" max="13" width="7" style="2" bestFit="1" customWidth="1"/>
    <col min="14" max="14" width="8.6640625" style="2" bestFit="1" customWidth="1"/>
    <col min="15" max="16" width="7" style="2" bestFit="1" customWidth="1"/>
    <col min="17" max="17" width="4.1640625" style="16" bestFit="1" customWidth="1"/>
    <col min="18" max="18" width="7.5" style="85" customWidth="1"/>
    <col min="19" max="19" width="9.33203125" style="16" customWidth="1"/>
    <col min="20" max="20" width="7.5" style="85" customWidth="1"/>
    <col min="21" max="21" width="15.5" style="16" customWidth="1"/>
    <col min="22" max="27" width="7.83203125" style="35" customWidth="1"/>
    <col min="28" max="28" width="14.6640625" style="35" customWidth="1"/>
    <col min="29" max="29" width="5.83203125" style="16" customWidth="1"/>
    <col min="30" max="30" width="22.6640625" style="16" customWidth="1"/>
    <col min="31" max="35" width="3.5" style="35" customWidth="1"/>
    <col min="36" max="36" width="4.5" style="16" customWidth="1"/>
    <col min="37" max="37" width="4.6640625" style="16" customWidth="1"/>
    <col min="38" max="38" width="9.33203125" style="16" customWidth="1"/>
    <col min="39" max="39" width="2.5" style="16" customWidth="1"/>
    <col min="40" max="40" width="24.6640625" style="16" customWidth="1"/>
    <col min="41" max="41" width="2.6640625" style="16" customWidth="1"/>
    <col min="42" max="42" width="19.1640625" style="16" customWidth="1"/>
    <col min="43" max="43" width="2.6640625" style="16" customWidth="1"/>
    <col min="44" max="44" width="24.6640625" style="16" customWidth="1"/>
    <col min="45" max="45" width="2.6640625" style="16" customWidth="1"/>
    <col min="46" max="46" width="19.33203125" style="16" customWidth="1"/>
    <col min="47" max="47" width="2.6640625" style="16" customWidth="1"/>
    <col min="48" max="51" width="15.6640625" style="16" customWidth="1"/>
    <col min="52" max="52" width="19.33203125" style="16" customWidth="1"/>
    <col min="53" max="53" width="2.6640625" style="16" customWidth="1"/>
    <col min="54" max="54" width="19.33203125" style="16" customWidth="1"/>
    <col min="55" max="55" width="2.6640625" style="49" customWidth="1"/>
    <col min="56" max="56" width="19.33203125" style="49" customWidth="1"/>
    <col min="57" max="57" width="2.6640625" style="49" customWidth="1"/>
    <col min="58" max="58" width="19.33203125" style="49" customWidth="1"/>
    <col min="59" max="59" width="2.6640625" style="49" customWidth="1"/>
    <col min="60" max="60" width="13.83203125" style="49" customWidth="1"/>
    <col min="61" max="61" width="5.5" style="49" customWidth="1"/>
    <col min="62" max="62" width="10.33203125" style="49" customWidth="1"/>
    <col min="63" max="63" width="9.33203125" style="49" customWidth="1"/>
    <col min="64" max="64" width="13.83203125" style="49" customWidth="1"/>
    <col min="65" max="65" width="5.5" style="49" customWidth="1"/>
    <col min="66" max="66" width="9.33203125" style="16" bestFit="1" customWidth="1"/>
    <col min="67" max="86" width="9.33203125" style="1" bestFit="1" customWidth="1"/>
    <col min="87" max="108" width="9.33203125" bestFit="1" customWidth="1"/>
    <col min="109" max="256" width="9.33203125" style="1" bestFit="1" customWidth="1"/>
  </cols>
  <sheetData>
    <row r="1" spans="1:108" ht="30.75" customHeight="1">
      <c r="A1" s="81" t="str">
        <f>INDEX(T,2,language)</f>
        <v>World Cup 2006 Final tournament schedule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7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6.75" customHeight="1">
      <c r="E2" s="1"/>
      <c r="F2" s="44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30.75" customHeight="1">
      <c r="A3" s="11" t="str">
        <f>INDEX(T,82,language)</f>
        <v>Last update: Jun 15, 2006</v>
      </c>
      <c r="B3" s="8"/>
      <c r="C3" s="55"/>
      <c r="D3" s="82" t="str">
        <f>CONCATENATE(INDEX(T,83,language),": www.excely.com")</f>
        <v>Visit home page: www.excely.com</v>
      </c>
      <c r="E3" s="83"/>
      <c r="F3" s="83"/>
      <c r="G3" s="83"/>
      <c r="H3" s="83"/>
      <c r="I3" s="83"/>
      <c r="J3" s="83"/>
      <c r="K3" s="83"/>
      <c r="L3" s="84"/>
      <c r="M3" s="8"/>
      <c r="N3" s="8"/>
      <c r="O3" s="12"/>
      <c r="P3" s="12"/>
      <c r="Q3" s="36"/>
      <c r="R3" s="16"/>
      <c r="S3" s="36"/>
      <c r="T3" s="16"/>
      <c r="U3" s="85"/>
      <c r="V3" s="16"/>
      <c r="AC3" s="35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>
      <c r="A4" s="11" t="s">
        <v>0</v>
      </c>
      <c r="G4" s="2"/>
      <c r="H4" s="2"/>
      <c r="I4" s="2"/>
      <c r="K4" s="1"/>
      <c r="Q4" s="35"/>
      <c r="R4" s="16"/>
      <c r="S4" s="35"/>
      <c r="T4" s="16"/>
      <c r="U4" s="85"/>
      <c r="V4" s="16"/>
      <c r="AC4" s="35"/>
      <c r="AM4" s="35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ht="11.25" customHeight="1">
      <c r="A5" s="62" t="str">
        <f>INDEX(T,41,language)</f>
        <v>First Round</v>
      </c>
      <c r="B5" s="63"/>
      <c r="C5" s="63"/>
      <c r="D5" s="63"/>
      <c r="E5" s="63"/>
      <c r="F5" s="63"/>
      <c r="G5" s="63"/>
      <c r="H5" s="64"/>
      <c r="J5" s="74" t="str">
        <f>CONCATENATE(INDEX(T,40,language)," A")</f>
        <v>Group A</v>
      </c>
      <c r="K5" s="76" t="str">
        <f>INDEX(T,35,language)</f>
        <v>W</v>
      </c>
      <c r="L5" s="76" t="str">
        <f>INDEX(T,36,language)</f>
        <v>D</v>
      </c>
      <c r="M5" s="76" t="str">
        <f>INDEX(T,37,language)</f>
        <v>L</v>
      </c>
      <c r="N5" s="76" t="str">
        <f>INDEX(T,38,language)</f>
        <v>F - A</v>
      </c>
      <c r="O5" s="76" t="str">
        <f>INDEX(T,39,language)</f>
        <v>Pnt</v>
      </c>
      <c r="P5" s="60" t="s">
        <v>1</v>
      </c>
      <c r="R5" s="86" t="s">
        <v>2</v>
      </c>
      <c r="S5" s="86" t="s">
        <v>3</v>
      </c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ht="13.5" customHeight="1">
      <c r="A6" s="65"/>
      <c r="B6" s="66"/>
      <c r="C6" s="66"/>
      <c r="D6" s="66"/>
      <c r="E6" s="66"/>
      <c r="F6" s="66"/>
      <c r="G6" s="66"/>
      <c r="H6" s="67"/>
      <c r="J6" s="75"/>
      <c r="K6" s="77"/>
      <c r="L6" s="77"/>
      <c r="M6" s="77"/>
      <c r="N6" s="77"/>
      <c r="O6" s="77"/>
      <c r="P6" s="61"/>
      <c r="R6" s="86"/>
      <c r="S6" s="86"/>
      <c r="T6" s="85" t="s">
        <v>4</v>
      </c>
      <c r="U6" s="85"/>
      <c r="V6" s="85" t="s">
        <v>5</v>
      </c>
      <c r="W6" s="85" t="s">
        <v>6</v>
      </c>
      <c r="X6" s="85" t="s">
        <v>7</v>
      </c>
      <c r="Y6" s="85" t="s">
        <v>8</v>
      </c>
      <c r="Z6" s="85" t="s">
        <v>9</v>
      </c>
      <c r="AA6" s="85" t="s">
        <v>10</v>
      </c>
      <c r="AB6" s="85" t="s">
        <v>11</v>
      </c>
      <c r="BH6" s="50" t="s">
        <v>12</v>
      </c>
      <c r="BI6" s="49">
        <f>VLOOKUP(BH6,BH7:BI30,2,FALSE)</f>
        <v>2</v>
      </c>
      <c r="BJ6" s="50" t="s">
        <v>13</v>
      </c>
      <c r="BK6" s="49">
        <f>VLOOKUP(BJ6,BJ7:BK50,2,FALSE)</f>
        <v>1</v>
      </c>
      <c r="BL6" s="50" t="s">
        <v>14</v>
      </c>
      <c r="BM6" s="49">
        <f>VLOOKUP(BL6,BL7:BM10,2,FALSE)</f>
        <v>0</v>
      </c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t="13.5" customHeight="1">
      <c r="A7" s="21" t="str">
        <f>CONCATENATE(9+IF(GMT&gt;7,1,0)," ",INDEX(T,80,language))</f>
        <v>9 Jun</v>
      </c>
      <c r="B7" s="22">
        <f>TIME(16+GMT,GMT_MIN,0)</f>
        <v>0.75</v>
      </c>
      <c r="C7" s="52" t="str">
        <f>U7</f>
        <v>Germany</v>
      </c>
      <c r="D7" s="15">
        <v>5</v>
      </c>
      <c r="E7" s="15">
        <v>2</v>
      </c>
      <c r="F7" s="53" t="str">
        <f>U8</f>
        <v>Costa Rica</v>
      </c>
      <c r="J7" s="38" t="str">
        <f>VLOOKUP(4,T7:AA10,2,FALSE)</f>
        <v>Germany</v>
      </c>
      <c r="K7" s="39">
        <f>VLOOKUP(4,T7:AA10,3,FALSE)</f>
        <v>3</v>
      </c>
      <c r="L7" s="39">
        <f>VLOOKUP(4,T7:AA10,4,FALSE)</f>
        <v>0</v>
      </c>
      <c r="M7" s="39">
        <f>VLOOKUP(4,T7:AA10,5,FALSE)</f>
        <v>0</v>
      </c>
      <c r="N7" s="39" t="str">
        <f>CONCATENATE(VLOOKUP(4,T7:AA10,6,FALSE)," - ",VLOOKUP(4,T7:AA10,7,FALSE))</f>
        <v>11 - 6</v>
      </c>
      <c r="O7" s="39">
        <f>VLOOKUP(4,T7:AA10,8,FALSE)</f>
        <v>9</v>
      </c>
      <c r="P7" s="46"/>
      <c r="R7" s="85">
        <f>5-(IF(S7&gt;S7,1,0)+IF(S7&gt;S8,1,0)+IF(S7&gt;S9,1,0)+IF(S7&gt;S10,1,0)+1)</f>
        <v>1</v>
      </c>
      <c r="S7" s="85">
        <f>IF(VLOOKUP(U7,J7:P10,7,FALSE)="",GMT_MIN,10-VLOOKUP(U7,J7:P10,7,FALSE))*10+T7</f>
        <v>4</v>
      </c>
      <c r="T7" s="85">
        <f>IF(AB7&gt;AB7,1,0)+IF(AB7&gt;AB8,1,0)+IF(AB7&gt;AB9,1,0)+IF(AB7&gt;AB10,1,0)+1</f>
        <v>4</v>
      </c>
      <c r="U7" s="16" t="str">
        <f>INDEX(T,3,language)</f>
        <v>Germany</v>
      </c>
      <c r="V7" s="35">
        <f>COUNTIF(AV7:AW54,CONCATENATE(U7,"_win"))</f>
        <v>3</v>
      </c>
      <c r="W7" s="35">
        <f>COUNTIF(AV7:AW54,CONCATENATE(U7,"_draw"))</f>
        <v>0</v>
      </c>
      <c r="X7" s="35">
        <f>COUNTIF(AV7:AW54,CONCATENATE(U7,"_lose"))</f>
        <v>0</v>
      </c>
      <c r="Y7" s="35">
        <f>SUMIF(AR7:AR54,CONCATENATE("=",U7),AS7:AS54)+SUMIF(AN7:AN54,CONCATENATE("=",U7),AO7:AO54)</f>
        <v>11</v>
      </c>
      <c r="Z7" s="35">
        <f>SUMIF(AT7:AT54,CONCATENATE("=",U7),AU7:AU54)+SUMIF(AP7:AP54,CONCATENATE("=",U7),AQ7:AQ54)</f>
        <v>6</v>
      </c>
      <c r="AA7" s="35">
        <f>V7*3+W7</f>
        <v>9</v>
      </c>
      <c r="AB7" s="35">
        <f>0.4+AK7+Y7*1000+(Y7-Z7)*100000+AA7*10000000</f>
        <v>90511000.400000006</v>
      </c>
      <c r="AC7" s="16">
        <f>IF(COUNTIF(AA7:AA10,CONCATENATE("=",AA7))=1,0,COUNTIF(AA7:AA10,CONCATENATE("=",AA7)))*AA7</f>
        <v>0</v>
      </c>
      <c r="AD7" s="16" t="str">
        <f>IF(SUM(V7:X10)=12,VLOOKUP(1,R7:U10,4,FALSE),INDEX(T,48,language))</f>
        <v>Germany</v>
      </c>
      <c r="AE7" s="35">
        <f>IF(AC7=AC11,AA7,IF(AC8=AC11,AA8,IF(AC9=AC11,AA9,AA10)))</f>
        <v>9</v>
      </c>
      <c r="AF7" s="35">
        <f>IF(AA7=AE7,1,0)</f>
        <v>1</v>
      </c>
      <c r="AG7" s="35">
        <f>COUNTIF(AX7:AY54,CONCATENATE(U7,"_win"))</f>
        <v>0</v>
      </c>
      <c r="AH7" s="35">
        <f>SUMIF(BD7:BD54,CONCATENATE("=",U7),BE7:BE54)+SUMIF(AZ7:AZ54,CONCATENATE("=",U7),BA7:BA54)</f>
        <v>0</v>
      </c>
      <c r="AI7" s="35">
        <f>SUMIF(BF7:BF54,CONCATENATE("=",U7),BG7:BG54)+SUMIF(BB7:BB54,CONCATENATE("=",U7),BC7:BC54)</f>
        <v>0</v>
      </c>
      <c r="AJ7" s="16">
        <f>300*AG7+(AH7-AI7)*10+AH7</f>
        <v>0</v>
      </c>
      <c r="AK7" s="16">
        <f>IF(AJ7&gt;0,AJ7,0)</f>
        <v>0</v>
      </c>
      <c r="AM7" s="16">
        <f>VLOOKUP(F7,U7:AF59,12,FALSE)+VLOOKUP(C7,U7:AF59,12,FALSE)</f>
        <v>1</v>
      </c>
      <c r="AN7" s="16" t="str">
        <f t="shared" ref="AN7:AN54" si="0">C7</f>
        <v>Germany</v>
      </c>
      <c r="AO7" s="16">
        <f t="shared" ref="AO7:AO54" si="1">D7</f>
        <v>5</v>
      </c>
      <c r="AP7" s="16" t="str">
        <f t="shared" ref="AP7:AP54" si="2">C7</f>
        <v>Germany</v>
      </c>
      <c r="AQ7" s="16">
        <f t="shared" ref="AQ7:AQ54" si="3">E7</f>
        <v>2</v>
      </c>
      <c r="AR7" s="16" t="str">
        <f t="shared" ref="AR7:AR54" si="4">F7</f>
        <v>Costa Rica</v>
      </c>
      <c r="AS7" s="16">
        <f t="shared" ref="AS7:AS54" si="5">E7</f>
        <v>2</v>
      </c>
      <c r="AT7" s="16" t="str">
        <f t="shared" ref="AT7:AT54" si="6">F7</f>
        <v>Costa Rica</v>
      </c>
      <c r="AU7" s="16">
        <f t="shared" ref="AU7:AU54" si="7">D7</f>
        <v>5</v>
      </c>
      <c r="AV7" s="16" t="str">
        <f t="shared" ref="AV7:AV54" si="8">IF(D7="","",IF(E7="","",IF(D7&gt;E7,CONCATENATE(C7,"_win"),IF(D7&lt;E7,CONCATENATE(C7,"_lose"),CONCATENATE(C7,"_draw")))))</f>
        <v>Germany_win</v>
      </c>
      <c r="AW7" s="16" t="str">
        <f t="shared" ref="AW7:AW54" si="9">IF(D7="","",IF(E7="","",IF(D7&gt;E7,CONCATENATE(F7,"_lose"),IF(D7&lt;E7,CONCATENATE(F7,"_win"),CONCATENATE(F7,"_draw")))))</f>
        <v>Costa Rica_lose</v>
      </c>
      <c r="AX7" s="16" t="str">
        <f t="shared" ref="AX7:AX54" si="10">IF(AM7=2,IF(D7="","",IF(E7="","",IF(D7&gt;E7,CONCATENATE(C7,"_win"),IF(D7&lt;E7,CONCATENATE(C7,"_lose"),CONCATENATE(C7,"_draw"))))),"")</f>
        <v/>
      </c>
      <c r="AY7" s="16" t="str">
        <f t="shared" ref="AY7:AY54" si="11">IF(AM7=2,IF(D7="","",IF(E7="","",IF(D7&gt;E7,CONCATENATE(F7,"_lose"),IF(D7&lt;E7,CONCATENATE(F7,"_win"),CONCATENATE(F7,"_draw"))))),"")</f>
        <v/>
      </c>
      <c r="AZ7" s="16" t="str">
        <f t="shared" ref="AZ7:AZ54" si="12">IF(AM7=2,AN7,"")</f>
        <v/>
      </c>
      <c r="BA7" s="16" t="str">
        <f t="shared" ref="BA7:BA54" si="13">IF(AM7=2,AO7,"")</f>
        <v/>
      </c>
      <c r="BB7" s="16" t="str">
        <f t="shared" ref="BB7:BB54" si="14">IF(AM7=2,AP7,"")</f>
        <v/>
      </c>
      <c r="BC7" s="49" t="str">
        <f t="shared" ref="BC7:BC54" si="15">IF(AM7=2,AQ7,"")</f>
        <v/>
      </c>
      <c r="BD7" s="49" t="str">
        <f t="shared" ref="BD7:BD54" si="16">IF(AM7=2,AR7,"")</f>
        <v/>
      </c>
      <c r="BE7" s="49" t="str">
        <f t="shared" ref="BE7:BE54" si="17">IF(AM7=2,AS7,"")</f>
        <v/>
      </c>
      <c r="BF7" s="49" t="str">
        <f t="shared" ref="BF7:BF54" si="18">IF(AM7=2,AT7,"")</f>
        <v/>
      </c>
      <c r="BG7" s="49" t="str">
        <f t="shared" ref="BG7:BG54" si="19">IF(AM7=2,AU7,"")</f>
        <v/>
      </c>
      <c r="BH7" s="49" t="s">
        <v>15</v>
      </c>
      <c r="BI7" s="49">
        <v>-11</v>
      </c>
      <c r="BJ7" s="49" t="s">
        <v>13</v>
      </c>
      <c r="BK7" s="49">
        <v>1</v>
      </c>
      <c r="BL7" s="49" t="s">
        <v>14</v>
      </c>
      <c r="BM7" s="49">
        <v>0</v>
      </c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ht="13.5" customHeight="1">
      <c r="A8" s="21" t="str">
        <f>CONCATENATE(9+IF(GMT&gt;4,1,0)," ",INDEX(T,80,language))</f>
        <v>9 Jun</v>
      </c>
      <c r="B8" s="22">
        <f>TIME(19+GMT,GMT_MIN,0)</f>
        <v>0.875</v>
      </c>
      <c r="C8" s="51" t="str">
        <f>U9</f>
        <v>Poland</v>
      </c>
      <c r="D8" s="15">
        <v>0</v>
      </c>
      <c r="E8" s="15">
        <v>2</v>
      </c>
      <c r="F8" s="53" t="str">
        <f>U10</f>
        <v>Ecuador</v>
      </c>
      <c r="J8" s="40" t="str">
        <f>VLOOKUP(3,T7:AA10,2,FALSE)</f>
        <v>Ecuador</v>
      </c>
      <c r="K8" s="41">
        <f>VLOOKUP(3,T7:AA10,3,FALSE)</f>
        <v>2</v>
      </c>
      <c r="L8" s="41">
        <f>VLOOKUP(3,T7:AA10,4,FALSE)</f>
        <v>0</v>
      </c>
      <c r="M8" s="41">
        <f>VLOOKUP(3,T7:AA10,5,FALSE)</f>
        <v>1</v>
      </c>
      <c r="N8" s="41" t="str">
        <f>CONCATENATE(VLOOKUP(3,T7:AA10,6,FALSE)," - ",VLOOKUP(3,T7:AA10,7,FALSE))</f>
        <v>9 - 5</v>
      </c>
      <c r="O8" s="41">
        <f>VLOOKUP(3,T7:AA10,8,FALSE)</f>
        <v>6</v>
      </c>
      <c r="P8" s="47"/>
      <c r="R8" s="85">
        <f>5-(IF(S8&gt;S7,1,0)+IF(S8&gt;S8,1,0)+IF(S8&gt;S9,1,0)+IF(S8&gt;S10,1,0)+1)</f>
        <v>4</v>
      </c>
      <c r="S8" s="85">
        <f>IF(VLOOKUP(U8,J7:P10,7,FALSE)="",GMT_MIN,10-VLOOKUP(U8,J7:P10,7,FALSE))*10+T8</f>
        <v>1</v>
      </c>
      <c r="T8" s="85">
        <f>IF(AB8&gt;AB7,1,0)+IF(AB8&gt;AB8,1,0)+IF(AB8&gt;AB9,1,0)+IF(AB8&gt;AB10,1,0)+1</f>
        <v>1</v>
      </c>
      <c r="U8" s="16" t="str">
        <f>INDEX(T,4,language)</f>
        <v>Costa Rica</v>
      </c>
      <c r="V8" s="35">
        <f>COUNTIF(AV7:AW54,CONCATENATE(U8,"_win"))</f>
        <v>0</v>
      </c>
      <c r="W8" s="35">
        <f>COUNTIF(AV7:AW54,CONCATENATE(U8,"_draw"))</f>
        <v>0</v>
      </c>
      <c r="X8" s="35">
        <f>COUNTIF(AV7:AW54,CONCATENATE(U8,"_lose"))</f>
        <v>3</v>
      </c>
      <c r="Y8" s="35">
        <f>SUMIF(AR7:AR54,CONCATENATE("=",U8),AS7:AS54)+SUMIF(AN7:AN54,CONCATENATE("=",U8),AO7:AO54)</f>
        <v>3</v>
      </c>
      <c r="Z8" s="35">
        <f>SUMIF(AT7:AT54,CONCATENATE("=",U8),AU7:AU54)+SUMIF(AP7:AP54,CONCATENATE("=",U8),AQ7:AQ54)</f>
        <v>10</v>
      </c>
      <c r="AA8" s="35">
        <f>V8*3+W8</f>
        <v>0</v>
      </c>
      <c r="AB8" s="35">
        <f>0.3+AK8+Y8*1000+(Y8-Z8)*100000+AA8*10000000</f>
        <v>-696999.7</v>
      </c>
      <c r="AC8" s="16">
        <f>IF(COUNTIF(AA7:AA10,CONCATENATE("=",AA8))=1,0,COUNTIF(AA7:AA10,CONCATENATE("=",AA8)))*AA8</f>
        <v>0</v>
      </c>
      <c r="AD8" s="16" t="str">
        <f>IF(SUM(V7:X10)=12,VLOOKUP(2,R7:U10,4,FALSE),INDEX(T,49,language))</f>
        <v>Ecuador</v>
      </c>
      <c r="AF8" s="35">
        <f>IF(AA8=AE7,1,0)</f>
        <v>0</v>
      </c>
      <c r="AG8" s="35">
        <f>COUNTIF(AX7:AY54,CONCATENATE(U8,"_win"))</f>
        <v>0</v>
      </c>
      <c r="AH8" s="35">
        <f>SUMIF(BD7:BD54,CONCATENATE("=",U8),BE7:BE54)+SUMIF(AZ7:AZ54,CONCATENATE("=",U8),BA7:BA54)</f>
        <v>0</v>
      </c>
      <c r="AI8" s="35">
        <f>SUMIF(BF7:BF54,CONCATENATE("=",U8),BG7:BG54)+SUMIF(BB7:BB54,CONCATENATE("=",U8),BC7:BC54)</f>
        <v>0</v>
      </c>
      <c r="AJ8" s="16">
        <f>300*AG8+(AH8-AI8)*10+AH8</f>
        <v>0</v>
      </c>
      <c r="AK8" s="16">
        <f>IF(AJ8&gt;0,AJ8,0)</f>
        <v>0</v>
      </c>
      <c r="AM8" s="16">
        <f>VLOOKUP(F8,U7:AF59,12,FALSE)+VLOOKUP(C8,U7:AF59,12,FALSE)</f>
        <v>0</v>
      </c>
      <c r="AN8" s="16" t="str">
        <f t="shared" si="0"/>
        <v>Poland</v>
      </c>
      <c r="AO8" s="16">
        <f t="shared" si="1"/>
        <v>0</v>
      </c>
      <c r="AP8" s="16" t="str">
        <f t="shared" si="2"/>
        <v>Poland</v>
      </c>
      <c r="AQ8" s="16">
        <f t="shared" si="3"/>
        <v>2</v>
      </c>
      <c r="AR8" s="16" t="str">
        <f t="shared" si="4"/>
        <v>Ecuador</v>
      </c>
      <c r="AS8" s="16">
        <f t="shared" si="5"/>
        <v>2</v>
      </c>
      <c r="AT8" s="16" t="str">
        <f t="shared" si="6"/>
        <v>Ecuador</v>
      </c>
      <c r="AU8" s="16">
        <f t="shared" si="7"/>
        <v>0</v>
      </c>
      <c r="AV8" s="16" t="str">
        <f t="shared" si="8"/>
        <v>Poland_lose</v>
      </c>
      <c r="AW8" s="16" t="str">
        <f t="shared" si="9"/>
        <v>Ecuador_win</v>
      </c>
      <c r="AX8" s="16" t="str">
        <f t="shared" si="10"/>
        <v/>
      </c>
      <c r="AY8" s="16" t="str">
        <f t="shared" si="11"/>
        <v/>
      </c>
      <c r="AZ8" s="16" t="str">
        <f t="shared" si="12"/>
        <v/>
      </c>
      <c r="BA8" s="16" t="str">
        <f t="shared" si="13"/>
        <v/>
      </c>
      <c r="BB8" s="16" t="str">
        <f t="shared" si="14"/>
        <v/>
      </c>
      <c r="BC8" s="49" t="str">
        <f t="shared" si="15"/>
        <v/>
      </c>
      <c r="BD8" s="49" t="str">
        <f t="shared" si="16"/>
        <v/>
      </c>
      <c r="BE8" s="49" t="str">
        <f t="shared" si="17"/>
        <v/>
      </c>
      <c r="BF8" s="49" t="str">
        <f t="shared" si="18"/>
        <v/>
      </c>
      <c r="BG8" s="49" t="str">
        <f t="shared" si="19"/>
        <v/>
      </c>
      <c r="BH8" s="49" t="s">
        <v>16</v>
      </c>
      <c r="BI8" s="49">
        <v>-10</v>
      </c>
      <c r="BJ8" s="49" t="s">
        <v>17</v>
      </c>
      <c r="BK8" s="49">
        <v>2</v>
      </c>
      <c r="BL8" s="49" t="s">
        <v>18</v>
      </c>
      <c r="BM8" s="49">
        <v>15</v>
      </c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3.5" customHeight="1">
      <c r="A9" s="21" t="str">
        <f>CONCATENATE(10+IF(GMT&gt;10,1,0)," ",INDEX(T,80,language))</f>
        <v>10 Jun</v>
      </c>
      <c r="B9" s="22">
        <f>TIME(13+GMT,GMT_MIN,0)</f>
        <v>0.625</v>
      </c>
      <c r="C9" s="51" t="str">
        <f>U14</f>
        <v>England</v>
      </c>
      <c r="D9" s="15">
        <v>1</v>
      </c>
      <c r="E9" s="15">
        <v>0</v>
      </c>
      <c r="F9" s="53" t="str">
        <f>U15</f>
        <v>Paraguay</v>
      </c>
      <c r="J9" s="40" t="str">
        <f>VLOOKUP(2,T7:AA10,2,FALSE)</f>
        <v>Poland</v>
      </c>
      <c r="K9" s="41">
        <f>VLOOKUP(2,T7:AA10,3,FALSE)</f>
        <v>1</v>
      </c>
      <c r="L9" s="41">
        <f>VLOOKUP(2,T7:AA10,4,FALSE)</f>
        <v>0</v>
      </c>
      <c r="M9" s="41">
        <f>VLOOKUP(2,T7:AA10,5,FALSE)</f>
        <v>2</v>
      </c>
      <c r="N9" s="41" t="str">
        <f>CONCATENATE(VLOOKUP(2,T7:AA10,6,FALSE)," - ",VLOOKUP(2,T7:AA10,7,FALSE))</f>
        <v>2 - 4</v>
      </c>
      <c r="O9" s="41">
        <f>VLOOKUP(2,T7:AA10,8,FALSE)</f>
        <v>3</v>
      </c>
      <c r="P9" s="47"/>
      <c r="R9" s="85">
        <f>5-(IF(S9&gt;S7,1,0)+IF(S9&gt;S8,1,0)+IF(S9&gt;S9,1,0)+IF(S9&gt;S10,1,0)+1)</f>
        <v>3</v>
      </c>
      <c r="S9" s="85">
        <f>IF(VLOOKUP(U9,J7:P10,7,FALSE)="",GMT_MIN,10-VLOOKUP(U9,J7:P10,7,FALSE))*10+T9</f>
        <v>2</v>
      </c>
      <c r="T9" s="85">
        <f>IF(AB9&gt;AB7,1,0)+IF(AB9&gt;AB8,1,0)+IF(AB9&gt;AB9,1,0)+IF(AB9&gt;AB10,1,0)+1</f>
        <v>2</v>
      </c>
      <c r="U9" s="16" t="str">
        <f>INDEX(T,5,language)</f>
        <v>Poland</v>
      </c>
      <c r="V9" s="35">
        <f>COUNTIF(AV7:AW54,CONCATENATE(U9,"_win"))</f>
        <v>1</v>
      </c>
      <c r="W9" s="35">
        <f>COUNTIF(AV7:AW54,CONCATENATE(U9,"_draw"))</f>
        <v>0</v>
      </c>
      <c r="X9" s="35">
        <f>COUNTIF(AV7:AW54,CONCATENATE(U9,"_lose"))</f>
        <v>2</v>
      </c>
      <c r="Y9" s="35">
        <f>SUMIF(AR7:AR54,CONCATENATE("=",U9),AS7:AS54)+SUMIF(AN7:AN54,CONCATENATE("=",U9),AO7:AO54)</f>
        <v>2</v>
      </c>
      <c r="Z9" s="35">
        <f>SUMIF(AT7:AT54,CONCATENATE("=",U9),AU7:AU54)+SUMIF(AP7:AP54,CONCATENATE("=",U9),AQ7:AQ54)</f>
        <v>4</v>
      </c>
      <c r="AA9" s="35">
        <f>V9*3+W9</f>
        <v>3</v>
      </c>
      <c r="AB9" s="35">
        <f>0.2+AK9+Y9*1000+(Y9-Z9)*100000+AA9*10000000</f>
        <v>29802000.199999999</v>
      </c>
      <c r="AC9" s="16">
        <f>IF(COUNTIF(AA7:AA10,CONCATENATE("=",AA9))=1,0,COUNTIF(AA7:AA10,CONCATENATE("=",AA9)))*AA9</f>
        <v>0</v>
      </c>
      <c r="AF9" s="35">
        <f>IF(AA9=AE7,1,0)</f>
        <v>0</v>
      </c>
      <c r="AG9" s="35">
        <f>COUNTIF(AX7:AY54,CONCATENATE(U9,"_win"))</f>
        <v>0</v>
      </c>
      <c r="AH9" s="35">
        <f>SUMIF(BD7:BD54,CONCATENATE("=",U9),BE7:BE54)+SUMIF(AZ7:AZ54,CONCATENATE("=",U9),BA7:BA54)</f>
        <v>0</v>
      </c>
      <c r="AI9" s="35">
        <f>SUMIF(BF7:BF54,CONCATENATE("=",U9),BG7:BG54)+SUMIF(BB7:BB54,CONCATENATE("=",U9),BC7:BC54)</f>
        <v>0</v>
      </c>
      <c r="AJ9" s="16">
        <f>300*AG9+(AH9-AI9)*10+AH9</f>
        <v>0</v>
      </c>
      <c r="AK9" s="16">
        <f>IF(AJ9&gt;0,AJ9,0)</f>
        <v>0</v>
      </c>
      <c r="AM9" s="16">
        <f>VLOOKUP(F9,U7:AF59,12,FALSE)+VLOOKUP(C9,U7:AF59,12,FALSE)</f>
        <v>1</v>
      </c>
      <c r="AN9" s="16" t="str">
        <f t="shared" si="0"/>
        <v>England</v>
      </c>
      <c r="AO9" s="16">
        <f t="shared" si="1"/>
        <v>1</v>
      </c>
      <c r="AP9" s="16" t="str">
        <f t="shared" si="2"/>
        <v>England</v>
      </c>
      <c r="AQ9" s="16">
        <f t="shared" si="3"/>
        <v>0</v>
      </c>
      <c r="AR9" s="16" t="str">
        <f t="shared" si="4"/>
        <v>Paraguay</v>
      </c>
      <c r="AS9" s="16">
        <f t="shared" si="5"/>
        <v>0</v>
      </c>
      <c r="AT9" s="16" t="str">
        <f t="shared" si="6"/>
        <v>Paraguay</v>
      </c>
      <c r="AU9" s="16">
        <f t="shared" si="7"/>
        <v>1</v>
      </c>
      <c r="AV9" s="16" t="str">
        <f t="shared" si="8"/>
        <v>England_win</v>
      </c>
      <c r="AW9" s="16" t="str">
        <f t="shared" si="9"/>
        <v>Paraguay_lose</v>
      </c>
      <c r="AX9" s="16" t="str">
        <f t="shared" si="10"/>
        <v/>
      </c>
      <c r="AY9" s="16" t="str">
        <f t="shared" si="11"/>
        <v/>
      </c>
      <c r="AZ9" s="16" t="str">
        <f t="shared" si="12"/>
        <v/>
      </c>
      <c r="BA9" s="16" t="str">
        <f t="shared" si="13"/>
        <v/>
      </c>
      <c r="BB9" s="16" t="str">
        <f t="shared" si="14"/>
        <v/>
      </c>
      <c r="BC9" s="49" t="str">
        <f t="shared" si="15"/>
        <v/>
      </c>
      <c r="BD9" s="49" t="str">
        <f t="shared" si="16"/>
        <v/>
      </c>
      <c r="BE9" s="49" t="str">
        <f t="shared" si="17"/>
        <v/>
      </c>
      <c r="BF9" s="49" t="str">
        <f t="shared" si="18"/>
        <v/>
      </c>
      <c r="BG9" s="49" t="str">
        <f t="shared" si="19"/>
        <v/>
      </c>
      <c r="BH9" s="49" t="s">
        <v>19</v>
      </c>
      <c r="BI9" s="49">
        <v>-9</v>
      </c>
      <c r="BJ9" s="49" t="s">
        <v>20</v>
      </c>
      <c r="BK9" s="49">
        <v>3</v>
      </c>
      <c r="BL9" s="49" t="s">
        <v>21</v>
      </c>
      <c r="BM9" s="49">
        <v>30</v>
      </c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13.5" customHeight="1">
      <c r="A10" s="21" t="str">
        <f>CONCATENATE(10+IF(GMT&gt;7,1,0)," ",INDEX(T,80,language))</f>
        <v>10 Jun</v>
      </c>
      <c r="B10" s="22">
        <f>TIME(16+GMT,GMT_MIN,0)</f>
        <v>0.75</v>
      </c>
      <c r="C10" s="51" t="str">
        <f>U16</f>
        <v>Trinidad &amp; Tobago</v>
      </c>
      <c r="D10" s="15">
        <v>0</v>
      </c>
      <c r="E10" s="15">
        <v>0</v>
      </c>
      <c r="F10" s="53" t="str">
        <f>U17</f>
        <v>Sweden</v>
      </c>
      <c r="J10" s="42" t="str">
        <f>VLOOKUP(1,T7:AA10,2,FALSE)</f>
        <v>Costa Rica</v>
      </c>
      <c r="K10" s="43">
        <f>VLOOKUP(1,T7:AA10,3,FALSE)</f>
        <v>0</v>
      </c>
      <c r="L10" s="43">
        <f>VLOOKUP(1,T7:AA10,4,FALSE)</f>
        <v>0</v>
      </c>
      <c r="M10" s="43">
        <f>VLOOKUP(1,T7:AA10,5,FALSE)</f>
        <v>3</v>
      </c>
      <c r="N10" s="43" t="str">
        <f>CONCATENATE(VLOOKUP(1,T7:AA10,6,FALSE)," - ",VLOOKUP(1,T7:AA10,7,FALSE))</f>
        <v>3 - 10</v>
      </c>
      <c r="O10" s="43">
        <f>VLOOKUP(1,T7:AA10,8,FALSE)</f>
        <v>0</v>
      </c>
      <c r="P10" s="48"/>
      <c r="R10" s="85">
        <f>5-(IF(S10&gt;S7,1,0)+IF(S10&gt;S8,1,0)+IF(S10&gt;S9,1,0)+IF(S10&gt;S10,1,0)+1)</f>
        <v>2</v>
      </c>
      <c r="S10" s="85">
        <f>IF(VLOOKUP(U10,J7:P10,7,FALSE)="",GMT_MIN,10-VLOOKUP(U10,J7:P10,7,FALSE))*10+T10</f>
        <v>3</v>
      </c>
      <c r="T10" s="85">
        <f>IF(AB10&gt;AB7,1,0)+IF(AB10&gt;AB8,1,0)+IF(AB10&gt;AB9,1,0)+IF(AB10&gt;AB10,1,0)+1</f>
        <v>3</v>
      </c>
      <c r="U10" s="16" t="str">
        <f>INDEX(T,6,language)</f>
        <v>Ecuador</v>
      </c>
      <c r="V10" s="35">
        <f>COUNTIF(AV7:AW54,CONCATENATE(U10,"_win"))</f>
        <v>2</v>
      </c>
      <c r="W10" s="35">
        <f>COUNTIF(AV7:AW54,CONCATENATE(U10,"_draw"))</f>
        <v>0</v>
      </c>
      <c r="X10" s="35">
        <f>COUNTIF(AV7:AW54,CONCATENATE(U10,"_lose"))</f>
        <v>1</v>
      </c>
      <c r="Y10" s="35">
        <f>SUMIF(AR7:AR54,CONCATENATE("=",U10),AS7:AS54)+SUMIF(AN7:AN54,CONCATENATE("=",U10),AO7:AO54)</f>
        <v>9</v>
      </c>
      <c r="Z10" s="35">
        <f>SUMIF(AT7:AT54,CONCATENATE("=",U10),AU7:AU54)+SUMIF(AP7:AP54,CONCATENATE("=",U10),AQ7:AQ54)</f>
        <v>5</v>
      </c>
      <c r="AA10" s="35">
        <f>V10*3+W10</f>
        <v>6</v>
      </c>
      <c r="AB10" s="35">
        <f>0.1+AK10+Y10*1000+(Y10-Z10)*100000+AA10*10000000</f>
        <v>60409000.100000001</v>
      </c>
      <c r="AC10" s="16">
        <f>IF(COUNTIF(AA7:AA10,CONCATENATE("=",AA10))=1,0,COUNTIF(AA7:AA10,CONCATENATE("=",AA10)))*AA10</f>
        <v>0</v>
      </c>
      <c r="AF10" s="35">
        <f>IF(AA10=AE7,1,0)</f>
        <v>0</v>
      </c>
      <c r="AG10" s="35">
        <f>COUNTIF(AX7:AY54,CONCATENATE(U10,"_win"))</f>
        <v>0</v>
      </c>
      <c r="AH10" s="35">
        <f>SUMIF(BD7:BD54,CONCATENATE("=",U10),BE7:BE54)+SUMIF(AZ7:AZ54,CONCATENATE("=",U10),BA7:BA54)</f>
        <v>0</v>
      </c>
      <c r="AI10" s="35">
        <f>SUMIF(BF7:BF54,CONCATENATE("=",U10),BG7:BG54)+SUMIF(BB7:BB54,CONCATENATE("=",U10),BC7:BC54)</f>
        <v>0</v>
      </c>
      <c r="AJ10" s="16">
        <f>300*AG10+(AH10-AI10)*10+AH10</f>
        <v>0</v>
      </c>
      <c r="AK10" s="16">
        <f>IF(AJ10&gt;0,AJ10,0)</f>
        <v>0</v>
      </c>
      <c r="AM10" s="16">
        <f>VLOOKUP(F10,U7:AF59,12,FALSE)+VLOOKUP(C10,U7:AF59,12,FALSE)</f>
        <v>0</v>
      </c>
      <c r="AN10" s="16" t="str">
        <f t="shared" si="0"/>
        <v>Trinidad &amp; Tobago</v>
      </c>
      <c r="AO10" s="16">
        <f t="shared" si="1"/>
        <v>0</v>
      </c>
      <c r="AP10" s="16" t="str">
        <f t="shared" si="2"/>
        <v>Trinidad &amp; Tobago</v>
      </c>
      <c r="AQ10" s="16">
        <f t="shared" si="3"/>
        <v>0</v>
      </c>
      <c r="AR10" s="16" t="str">
        <f t="shared" si="4"/>
        <v>Sweden</v>
      </c>
      <c r="AS10" s="16">
        <f t="shared" si="5"/>
        <v>0</v>
      </c>
      <c r="AT10" s="16" t="str">
        <f t="shared" si="6"/>
        <v>Sweden</v>
      </c>
      <c r="AU10" s="16">
        <f t="shared" si="7"/>
        <v>0</v>
      </c>
      <c r="AV10" s="16" t="str">
        <f t="shared" si="8"/>
        <v>Trinidad &amp; Tobago_draw</v>
      </c>
      <c r="AW10" s="16" t="str">
        <f t="shared" si="9"/>
        <v>Sweden_draw</v>
      </c>
      <c r="AX10" s="16" t="str">
        <f t="shared" si="10"/>
        <v/>
      </c>
      <c r="AY10" s="16" t="str">
        <f t="shared" si="11"/>
        <v/>
      </c>
      <c r="AZ10" s="16" t="str">
        <f t="shared" si="12"/>
        <v/>
      </c>
      <c r="BA10" s="16" t="str">
        <f t="shared" si="13"/>
        <v/>
      </c>
      <c r="BB10" s="16" t="str">
        <f t="shared" si="14"/>
        <v/>
      </c>
      <c r="BC10" s="49" t="str">
        <f t="shared" si="15"/>
        <v/>
      </c>
      <c r="BD10" s="49" t="str">
        <f t="shared" si="16"/>
        <v/>
      </c>
      <c r="BE10" s="49" t="str">
        <f t="shared" si="17"/>
        <v/>
      </c>
      <c r="BF10" s="49" t="str">
        <f t="shared" si="18"/>
        <v/>
      </c>
      <c r="BG10" s="49" t="str">
        <f t="shared" si="19"/>
        <v/>
      </c>
      <c r="BH10" s="49" t="s">
        <v>22</v>
      </c>
      <c r="BI10" s="49">
        <v>-8</v>
      </c>
      <c r="BJ10" s="49" t="s">
        <v>23</v>
      </c>
      <c r="BK10" s="49">
        <v>4</v>
      </c>
      <c r="BL10" s="49" t="s">
        <v>24</v>
      </c>
      <c r="BM10" s="49">
        <v>45</v>
      </c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ht="13.5" customHeight="1">
      <c r="A11" s="21" t="str">
        <f>CONCATENATE(10+IF(GMT&gt;4,1,0)," ",INDEX(T,80,language))</f>
        <v>10 Jun</v>
      </c>
      <c r="B11" s="22">
        <f>TIME(19+GMT,GMT_MIN,0)</f>
        <v>0.875</v>
      </c>
      <c r="C11" s="51" t="str">
        <f>U21</f>
        <v>Argentina</v>
      </c>
      <c r="D11" s="15">
        <v>2</v>
      </c>
      <c r="E11" s="15">
        <v>1</v>
      </c>
      <c r="F11" s="53" t="str">
        <f>U22</f>
        <v>C�te d'Ivoire</v>
      </c>
      <c r="J11" s="44"/>
      <c r="K11" s="45"/>
      <c r="L11" s="45"/>
      <c r="M11" s="45"/>
      <c r="N11" s="45"/>
      <c r="O11" s="45"/>
      <c r="P11" s="45"/>
      <c r="AC11" s="16">
        <f>MAX(AC7:AC10)</f>
        <v>0</v>
      </c>
      <c r="AM11" s="16">
        <f>VLOOKUP(F11,U7:AF59,12,FALSE)+VLOOKUP(C11,U7:AF59,12,FALSE)</f>
        <v>1</v>
      </c>
      <c r="AN11" s="16" t="str">
        <f t="shared" si="0"/>
        <v>Argentina</v>
      </c>
      <c r="AO11" s="16">
        <f t="shared" si="1"/>
        <v>2</v>
      </c>
      <c r="AP11" s="16" t="str">
        <f t="shared" si="2"/>
        <v>Argentina</v>
      </c>
      <c r="AQ11" s="16">
        <f t="shared" si="3"/>
        <v>1</v>
      </c>
      <c r="AR11" s="16" t="str">
        <f t="shared" si="4"/>
        <v>C�te d'Ivoire</v>
      </c>
      <c r="AS11" s="16">
        <f t="shared" si="5"/>
        <v>1</v>
      </c>
      <c r="AT11" s="16" t="str">
        <f t="shared" si="6"/>
        <v>C�te d'Ivoire</v>
      </c>
      <c r="AU11" s="16">
        <f t="shared" si="7"/>
        <v>2</v>
      </c>
      <c r="AV11" s="16" t="str">
        <f t="shared" si="8"/>
        <v>Argentina_win</v>
      </c>
      <c r="AW11" s="16" t="str">
        <f t="shared" si="9"/>
        <v>C�te d'Ivoire_lose</v>
      </c>
      <c r="AX11" s="16" t="str">
        <f t="shared" si="10"/>
        <v/>
      </c>
      <c r="AY11" s="16" t="str">
        <f t="shared" si="11"/>
        <v/>
      </c>
      <c r="AZ11" s="16" t="str">
        <f t="shared" si="12"/>
        <v/>
      </c>
      <c r="BA11" s="16" t="str">
        <f t="shared" si="13"/>
        <v/>
      </c>
      <c r="BB11" s="16" t="str">
        <f t="shared" si="14"/>
        <v/>
      </c>
      <c r="BC11" s="49" t="str">
        <f t="shared" si="15"/>
        <v/>
      </c>
      <c r="BD11" s="49" t="str">
        <f t="shared" si="16"/>
        <v/>
      </c>
      <c r="BE11" s="49" t="str">
        <f t="shared" si="17"/>
        <v/>
      </c>
      <c r="BF11" s="49" t="str">
        <f t="shared" si="18"/>
        <v/>
      </c>
      <c r="BG11" s="49" t="str">
        <f t="shared" si="19"/>
        <v/>
      </c>
      <c r="BH11" s="49" t="s">
        <v>25</v>
      </c>
      <c r="BI11" s="49">
        <v>-7</v>
      </c>
      <c r="BJ11" s="49" t="s">
        <v>26</v>
      </c>
      <c r="BK11" s="49">
        <v>5</v>
      </c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ht="13.5" customHeight="1">
      <c r="A12" s="21" t="str">
        <f>CONCATENATE(11+IF(GMT&gt;10,1,0)," ",INDEX(T,80,language))</f>
        <v>11 Jun</v>
      </c>
      <c r="B12" s="22">
        <f>TIME(13+GMT,GMT_MIN,0)</f>
        <v>0.625</v>
      </c>
      <c r="C12" s="51" t="str">
        <f>U23</f>
        <v>Serbia &amp; Montenegro</v>
      </c>
      <c r="D12" s="15">
        <v>0</v>
      </c>
      <c r="E12" s="15">
        <v>1</v>
      </c>
      <c r="F12" s="53" t="str">
        <f>U24</f>
        <v>Netherlands</v>
      </c>
      <c r="J12" s="70" t="str">
        <f>CONCATENATE(INDEX(T,40,language)," B")</f>
        <v>Group B</v>
      </c>
      <c r="K12" s="72" t="str">
        <f>INDEX(T,35,language)</f>
        <v>W</v>
      </c>
      <c r="L12" s="72" t="str">
        <f>INDEX(T,36,language)</f>
        <v>D</v>
      </c>
      <c r="M12" s="72" t="str">
        <f>INDEX(T,37,language)</f>
        <v>L</v>
      </c>
      <c r="N12" s="72" t="str">
        <f>INDEX(T,38,language)</f>
        <v>F - A</v>
      </c>
      <c r="O12" s="72" t="str">
        <f>INDEX(T,39,language)</f>
        <v>Pnt</v>
      </c>
      <c r="P12" s="1" t="s">
        <v>1</v>
      </c>
      <c r="AM12" s="16">
        <f>VLOOKUP(F12,U7:AF59,12,FALSE)+VLOOKUP(C12,U7:AF59,12,FALSE)</f>
        <v>1</v>
      </c>
      <c r="AN12" s="16" t="str">
        <f t="shared" si="0"/>
        <v>Serbia &amp; Montenegro</v>
      </c>
      <c r="AO12" s="16">
        <f t="shared" si="1"/>
        <v>0</v>
      </c>
      <c r="AP12" s="16" t="str">
        <f t="shared" si="2"/>
        <v>Serbia &amp; Montenegro</v>
      </c>
      <c r="AQ12" s="16">
        <f t="shared" si="3"/>
        <v>1</v>
      </c>
      <c r="AR12" s="16" t="str">
        <f t="shared" si="4"/>
        <v>Netherlands</v>
      </c>
      <c r="AS12" s="16">
        <f t="shared" si="5"/>
        <v>1</v>
      </c>
      <c r="AT12" s="16" t="str">
        <f t="shared" si="6"/>
        <v>Netherlands</v>
      </c>
      <c r="AU12" s="16">
        <f t="shared" si="7"/>
        <v>0</v>
      </c>
      <c r="AV12" s="16" t="str">
        <f t="shared" si="8"/>
        <v>Serbia &amp; Montenegro_lose</v>
      </c>
      <c r="AW12" s="16" t="str">
        <f t="shared" si="9"/>
        <v>Netherlands_win</v>
      </c>
      <c r="AX12" s="16" t="str">
        <f t="shared" si="10"/>
        <v/>
      </c>
      <c r="AY12" s="16" t="str">
        <f t="shared" si="11"/>
        <v/>
      </c>
      <c r="AZ12" s="16" t="str">
        <f t="shared" si="12"/>
        <v/>
      </c>
      <c r="BA12" s="16" t="str">
        <f t="shared" si="13"/>
        <v/>
      </c>
      <c r="BB12" s="16" t="str">
        <f t="shared" si="14"/>
        <v/>
      </c>
      <c r="BC12" s="49" t="str">
        <f t="shared" si="15"/>
        <v/>
      </c>
      <c r="BD12" s="49" t="str">
        <f t="shared" si="16"/>
        <v/>
      </c>
      <c r="BE12" s="49" t="str">
        <f t="shared" si="17"/>
        <v/>
      </c>
      <c r="BF12" s="49" t="str">
        <f t="shared" si="18"/>
        <v/>
      </c>
      <c r="BG12" s="49" t="str">
        <f t="shared" si="19"/>
        <v/>
      </c>
      <c r="BH12" s="49" t="s">
        <v>27</v>
      </c>
      <c r="BI12" s="49">
        <v>-6</v>
      </c>
      <c r="BJ12" s="49" t="s">
        <v>28</v>
      </c>
      <c r="BK12" s="49">
        <v>6</v>
      </c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1:108" ht="13.5" customHeight="1">
      <c r="A13" s="21" t="str">
        <f>CONCATENATE(11+IF(GMT&gt;7,1,0)," ",INDEX(T,80,language))</f>
        <v>11 Jun</v>
      </c>
      <c r="B13" s="22">
        <f>TIME(16+GMT,GMT_MIN,0)</f>
        <v>0.75</v>
      </c>
      <c r="C13" s="51" t="str">
        <f>U28</f>
        <v>Mexico</v>
      </c>
      <c r="D13" s="15">
        <v>3</v>
      </c>
      <c r="E13" s="15">
        <v>1</v>
      </c>
      <c r="F13" s="53" t="str">
        <f>U29</f>
        <v>Iran</v>
      </c>
      <c r="J13" s="71"/>
      <c r="K13" s="73"/>
      <c r="L13" s="73"/>
      <c r="M13" s="73"/>
      <c r="N13" s="73"/>
      <c r="O13" s="73"/>
      <c r="P13" s="59"/>
      <c r="AM13" s="16">
        <f>VLOOKUP(F13,U7:AF59,12,FALSE)+VLOOKUP(C13,U7:AF59,12,FALSE)</f>
        <v>1</v>
      </c>
      <c r="AN13" s="16" t="str">
        <f t="shared" si="0"/>
        <v>Mexico</v>
      </c>
      <c r="AO13" s="16">
        <f t="shared" si="1"/>
        <v>3</v>
      </c>
      <c r="AP13" s="16" t="str">
        <f t="shared" si="2"/>
        <v>Mexico</v>
      </c>
      <c r="AQ13" s="16">
        <f t="shared" si="3"/>
        <v>1</v>
      </c>
      <c r="AR13" s="16" t="str">
        <f t="shared" si="4"/>
        <v>Iran</v>
      </c>
      <c r="AS13" s="16">
        <f t="shared" si="5"/>
        <v>1</v>
      </c>
      <c r="AT13" s="16" t="str">
        <f t="shared" si="6"/>
        <v>Iran</v>
      </c>
      <c r="AU13" s="16">
        <f t="shared" si="7"/>
        <v>3</v>
      </c>
      <c r="AV13" s="16" t="str">
        <f t="shared" si="8"/>
        <v>Mexico_win</v>
      </c>
      <c r="AW13" s="16" t="str">
        <f t="shared" si="9"/>
        <v>Iran_lose</v>
      </c>
      <c r="AX13" s="16" t="str">
        <f t="shared" si="10"/>
        <v/>
      </c>
      <c r="AY13" s="16" t="str">
        <f t="shared" si="11"/>
        <v/>
      </c>
      <c r="AZ13" s="16" t="str">
        <f t="shared" si="12"/>
        <v/>
      </c>
      <c r="BA13" s="16" t="str">
        <f t="shared" si="13"/>
        <v/>
      </c>
      <c r="BB13" s="16" t="str">
        <f t="shared" si="14"/>
        <v/>
      </c>
      <c r="BC13" s="49" t="str">
        <f t="shared" si="15"/>
        <v/>
      </c>
      <c r="BD13" s="49" t="str">
        <f t="shared" si="16"/>
        <v/>
      </c>
      <c r="BE13" s="49" t="str">
        <f t="shared" si="17"/>
        <v/>
      </c>
      <c r="BF13" s="49" t="str">
        <f t="shared" si="18"/>
        <v/>
      </c>
      <c r="BG13" s="49" t="str">
        <f t="shared" si="19"/>
        <v/>
      </c>
      <c r="BH13" s="49" t="s">
        <v>29</v>
      </c>
      <c r="BI13" s="49">
        <v>-5</v>
      </c>
      <c r="BJ13" s="49" t="s">
        <v>30</v>
      </c>
      <c r="BK13" s="49">
        <v>7</v>
      </c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</row>
    <row r="14" spans="1:108" ht="13.5" customHeight="1">
      <c r="A14" s="21" t="str">
        <f>CONCATENATE(11+IF(GMT&gt;4,1,0)," ",INDEX(T,80,language))</f>
        <v>11 Jun</v>
      </c>
      <c r="B14" s="22">
        <f>TIME(19+GMT,GMT_MIN,0)</f>
        <v>0.875</v>
      </c>
      <c r="C14" s="51" t="str">
        <f>U30</f>
        <v>Angola</v>
      </c>
      <c r="D14" s="15">
        <v>0</v>
      </c>
      <c r="E14" s="15">
        <v>1</v>
      </c>
      <c r="F14" s="53" t="str">
        <f>U31</f>
        <v>Portugal</v>
      </c>
      <c r="J14" s="38" t="str">
        <f>VLOOKUP(4,T14:AA17,2,FALSE)</f>
        <v>England</v>
      </c>
      <c r="K14" s="39">
        <f>VLOOKUP(4,T14:AA17,3,FALSE)</f>
        <v>2</v>
      </c>
      <c r="L14" s="39">
        <f>VLOOKUP(4,T14:AA17,4,FALSE)</f>
        <v>1</v>
      </c>
      <c r="M14" s="39">
        <f>VLOOKUP(4,T14:AA17,5,FALSE)</f>
        <v>0</v>
      </c>
      <c r="N14" s="39" t="str">
        <f>CONCATENATE(VLOOKUP(4,T14:AA17,6,FALSE)," - ",VLOOKUP(4,T14:AA17,7,FALSE))</f>
        <v>5 - 2</v>
      </c>
      <c r="O14" s="39">
        <f>VLOOKUP(4,T14:AA17,8,FALSE)</f>
        <v>7</v>
      </c>
      <c r="P14" s="46"/>
      <c r="R14" s="85">
        <f>5-(IF(S14&gt;S14,1,0)+IF(S14&gt;S15,1,0)+IF(S14&gt;S16,1,0)+IF(S14&gt;S17,1,0)+1)</f>
        <v>1</v>
      </c>
      <c r="S14" s="85">
        <f>IF(VLOOKUP(U14,J14:P17,7,FALSE)="",GMT_MIN,10-VLOOKUP(U14,J14:P17,7,FALSE))*10+T14</f>
        <v>4</v>
      </c>
      <c r="T14" s="85">
        <f>IF(AB14&gt;AB14,1,0)+IF(AB14&gt;AB15,1,0)+IF(AB14&gt;AB16,1,0)+IF(AB14&gt;AB17,1,0)+1</f>
        <v>4</v>
      </c>
      <c r="U14" s="16" t="str">
        <f>INDEX(T,7,language)</f>
        <v>England</v>
      </c>
      <c r="V14" s="35">
        <f>COUNTIF(AV7:AW54,CONCATENATE(U14,"_win"))</f>
        <v>2</v>
      </c>
      <c r="W14" s="35">
        <f>COUNTIF(AV7:AW54,CONCATENATE(U14,"_draw"))</f>
        <v>1</v>
      </c>
      <c r="X14" s="35">
        <f>COUNTIF(AV7:AW54,CONCATENATE(U14,"_lose"))</f>
        <v>0</v>
      </c>
      <c r="Y14" s="35">
        <f>SUMIF(AR7:AR54,CONCATENATE("=",U14),AS7:AS54)+SUMIF(AN7:AN54,CONCATENATE("=",U14),AO7:AO54)</f>
        <v>5</v>
      </c>
      <c r="Z14" s="35">
        <f>SUMIF(AT7:AT54,CONCATENATE("=",U14),AU7:AU54)+SUMIF(AP7:AP54,CONCATENATE("=",U14),AQ7:AQ54)</f>
        <v>2</v>
      </c>
      <c r="AA14" s="35">
        <f>V14*3+W14</f>
        <v>7</v>
      </c>
      <c r="AB14" s="35">
        <f>0.4+AK14+Y14*1000+(Y14-Z14)*100000+AA14*10000000</f>
        <v>70305000.400000006</v>
      </c>
      <c r="AC14" s="16">
        <f>IF(COUNTIF(AA14:AA17,CONCATENATE("=",AA14))=1,0,COUNTIF(AA14:AA17,CONCATENATE("=",AA14)))*AA14</f>
        <v>0</v>
      </c>
      <c r="AD14" s="16" t="str">
        <f>IF(SUM(V14:X17)=12,VLOOKUP(1,R14:U17,4,FALSE),INDEX(T,50,language))</f>
        <v>England</v>
      </c>
      <c r="AE14" s="35">
        <f>IF(AC14=AC18,AA14,IF(AC15=AC18,AA15,IF(AC16=AC18,AA16,AA17)))</f>
        <v>7</v>
      </c>
      <c r="AF14" s="35">
        <f>IF(AA14=AE14,1,0)</f>
        <v>1</v>
      </c>
      <c r="AG14" s="35">
        <f>COUNTIF(AX7:AY54,CONCATENATE(U14,"_win"))</f>
        <v>0</v>
      </c>
      <c r="AH14" s="35">
        <f>SUMIF(BD7:BD54,CONCATENATE("=",U14),BE7:BE54)+SUMIF(AZ7:AZ54,CONCATENATE("=",U14),BA7:BA54)</f>
        <v>0</v>
      </c>
      <c r="AI14" s="35">
        <f>SUMIF(BF7:BF54,CONCATENATE("=",U14),BG7:BG54)+SUMIF(BB7:BB54,CONCATENATE("=",U14),BC7:BC54)</f>
        <v>0</v>
      </c>
      <c r="AJ14" s="16">
        <f>300*AG14+(AH14-AI14)*10+AH14</f>
        <v>0</v>
      </c>
      <c r="AK14" s="16">
        <f>IF(AJ14&gt;0,AJ14,0)</f>
        <v>0</v>
      </c>
      <c r="AM14" s="16">
        <f>VLOOKUP(F14,U7:AF59,12,FALSE)+VLOOKUP(C14,U7:AF59,12,FALSE)</f>
        <v>0</v>
      </c>
      <c r="AN14" s="16" t="str">
        <f t="shared" si="0"/>
        <v>Angola</v>
      </c>
      <c r="AO14" s="16">
        <f t="shared" si="1"/>
        <v>0</v>
      </c>
      <c r="AP14" s="16" t="str">
        <f t="shared" si="2"/>
        <v>Angola</v>
      </c>
      <c r="AQ14" s="16">
        <f t="shared" si="3"/>
        <v>1</v>
      </c>
      <c r="AR14" s="16" t="str">
        <f t="shared" si="4"/>
        <v>Portugal</v>
      </c>
      <c r="AS14" s="16">
        <f t="shared" si="5"/>
        <v>1</v>
      </c>
      <c r="AT14" s="16" t="str">
        <f t="shared" si="6"/>
        <v>Portugal</v>
      </c>
      <c r="AU14" s="16">
        <f t="shared" si="7"/>
        <v>0</v>
      </c>
      <c r="AV14" s="16" t="str">
        <f t="shared" si="8"/>
        <v>Angola_lose</v>
      </c>
      <c r="AW14" s="16" t="str">
        <f t="shared" si="9"/>
        <v>Portugal_win</v>
      </c>
      <c r="AX14" s="16" t="str">
        <f t="shared" si="10"/>
        <v/>
      </c>
      <c r="AY14" s="16" t="str">
        <f t="shared" si="11"/>
        <v/>
      </c>
      <c r="AZ14" s="16" t="str">
        <f t="shared" si="12"/>
        <v/>
      </c>
      <c r="BA14" s="16" t="str">
        <f t="shared" si="13"/>
        <v/>
      </c>
      <c r="BB14" s="16" t="str">
        <f t="shared" si="14"/>
        <v/>
      </c>
      <c r="BC14" s="49" t="str">
        <f t="shared" si="15"/>
        <v/>
      </c>
      <c r="BD14" s="49" t="str">
        <f t="shared" si="16"/>
        <v/>
      </c>
      <c r="BE14" s="49" t="str">
        <f t="shared" si="17"/>
        <v/>
      </c>
      <c r="BF14" s="49" t="str">
        <f t="shared" si="18"/>
        <v/>
      </c>
      <c r="BG14" s="49" t="str">
        <f t="shared" si="19"/>
        <v/>
      </c>
      <c r="BH14" s="49" t="s">
        <v>31</v>
      </c>
      <c r="BI14" s="49">
        <v>-4</v>
      </c>
      <c r="BJ14" s="49" t="s">
        <v>32</v>
      </c>
      <c r="BK14" s="49">
        <v>8</v>
      </c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</row>
    <row r="15" spans="1:108" ht="13.5" customHeight="1">
      <c r="A15" s="21" t="str">
        <f>CONCATENATE(12+IF(GMT&gt;10,1,0)," ",INDEX(T,80,language))</f>
        <v>12 Jun</v>
      </c>
      <c r="B15" s="22">
        <f>TIME(13+GMT,GMT_MIN,0)</f>
        <v>0.625</v>
      </c>
      <c r="C15" s="51" t="str">
        <f>U44</f>
        <v>Australia</v>
      </c>
      <c r="D15" s="15">
        <v>3</v>
      </c>
      <c r="E15" s="15">
        <v>1</v>
      </c>
      <c r="F15" s="53" t="str">
        <f>U45</f>
        <v>Japan</v>
      </c>
      <c r="J15" s="40" t="str">
        <f>VLOOKUP(3,T14:AA17,2,FALSE)</f>
        <v>Sweden</v>
      </c>
      <c r="K15" s="41">
        <f>VLOOKUP(3,T14:AA17,3,FALSE)</f>
        <v>1</v>
      </c>
      <c r="L15" s="41">
        <f>VLOOKUP(3,T14:AA17,4,FALSE)</f>
        <v>2</v>
      </c>
      <c r="M15" s="41">
        <f>VLOOKUP(3,T14:AA17,5,FALSE)</f>
        <v>0</v>
      </c>
      <c r="N15" s="41" t="str">
        <f>CONCATENATE(VLOOKUP(3,T14:AA17,6,FALSE)," - ",VLOOKUP(3,T14:AA17,7,FALSE))</f>
        <v>3 - 2</v>
      </c>
      <c r="O15" s="41">
        <f>VLOOKUP(3,T14:AA17,8,FALSE)</f>
        <v>5</v>
      </c>
      <c r="P15" s="47"/>
      <c r="R15" s="85">
        <f>5-(IF(S15&gt;S14,1,0)+IF(S15&gt;S15,1,0)+IF(S15&gt;S16,1,0)+IF(S15&gt;S17,1,0)+1)</f>
        <v>3</v>
      </c>
      <c r="S15" s="85">
        <f>IF(VLOOKUP(U15,J14:P17,7,FALSE)="",GMT_MIN,10-VLOOKUP(U15,J14:P17,7,FALSE))*10+T15</f>
        <v>2</v>
      </c>
      <c r="T15" s="85">
        <f>IF(AB15&gt;AB14,1,0)+IF(AB15&gt;AB15,1,0)+IF(AB15&gt;AB16,1,0)+IF(AB15&gt;AB17,1,0)+1</f>
        <v>2</v>
      </c>
      <c r="U15" s="16" t="str">
        <f>INDEX(T,8,language)</f>
        <v>Paraguay</v>
      </c>
      <c r="V15" s="35">
        <f>COUNTIF(AV7:AW54,CONCATENATE(U15,"_win"))</f>
        <v>1</v>
      </c>
      <c r="W15" s="35">
        <f>COUNTIF(AV7:AW54,CONCATENATE(U15,"_draw"))</f>
        <v>0</v>
      </c>
      <c r="X15" s="35">
        <f>COUNTIF(AV7:AW54,CONCATENATE(U15,"_lose"))</f>
        <v>2</v>
      </c>
      <c r="Y15" s="35">
        <f>SUMIF(AR7:AR54,CONCATENATE("=",U15),AS7:AS54)+SUMIF(AN7:AN54,CONCATENATE("=",U15),AO7:AO54)</f>
        <v>2</v>
      </c>
      <c r="Z15" s="35">
        <f>SUMIF(AT7:AT54,CONCATENATE("=",U15),AU7:AU54)+SUMIF(AP7:AP54,CONCATENATE("=",U15),AQ7:AQ54)</f>
        <v>2</v>
      </c>
      <c r="AA15" s="35">
        <f>V15*3+W15</f>
        <v>3</v>
      </c>
      <c r="AB15" s="35">
        <f>0.3+AK15+Y15*1000+(Y15-Z15)*100000+AA15*10000000</f>
        <v>30002000.300000001</v>
      </c>
      <c r="AC15" s="16">
        <f>IF(COUNTIF(AA14:AA17,CONCATENATE("=",AA15))=1,0,COUNTIF(AA14:AA17,CONCATENATE("=",AA15)))*AA15</f>
        <v>0</v>
      </c>
      <c r="AD15" s="16" t="str">
        <f>IF(SUM(V14:X17)=12,VLOOKUP(2,R14:U17,4,FALSE),INDEX(T,51,language))</f>
        <v>Sweden</v>
      </c>
      <c r="AF15" s="35">
        <f>IF(AA15=AE14,1,0)</f>
        <v>0</v>
      </c>
      <c r="AG15" s="35">
        <f>COUNTIF(AX7:AY54,CONCATENATE(U15,"_win"))</f>
        <v>0</v>
      </c>
      <c r="AH15" s="35">
        <f>SUMIF(BD7:BD54,CONCATENATE("=",U15),BE7:BE54)+SUMIF(AZ7:AZ54,CONCATENATE("=",U15),BA7:BA54)</f>
        <v>0</v>
      </c>
      <c r="AI15" s="35">
        <f>SUMIF(BF7:BF54,CONCATENATE("=",U15),BG7:BG54)+SUMIF(BB7:BB54,CONCATENATE("=",U15),BC7:BC54)</f>
        <v>0</v>
      </c>
      <c r="AJ15" s="16">
        <f>300*AG15+(AH15-AI15)*10+AH15</f>
        <v>0</v>
      </c>
      <c r="AK15" s="16">
        <f>IF(AJ15&gt;0,AJ15,0)</f>
        <v>0</v>
      </c>
      <c r="AM15" s="16">
        <f>VLOOKUP(F15,U7:AF59,12,FALSE)+VLOOKUP(C15,U7:AF59,12,FALSE)</f>
        <v>0</v>
      </c>
      <c r="AN15" s="16" t="str">
        <f t="shared" si="0"/>
        <v>Australia</v>
      </c>
      <c r="AO15" s="16">
        <f t="shared" si="1"/>
        <v>3</v>
      </c>
      <c r="AP15" s="16" t="str">
        <f t="shared" si="2"/>
        <v>Australia</v>
      </c>
      <c r="AQ15" s="16">
        <f t="shared" si="3"/>
        <v>1</v>
      </c>
      <c r="AR15" s="16" t="str">
        <f t="shared" si="4"/>
        <v>Japan</v>
      </c>
      <c r="AS15" s="16">
        <f t="shared" si="5"/>
        <v>1</v>
      </c>
      <c r="AT15" s="16" t="str">
        <f t="shared" si="6"/>
        <v>Japan</v>
      </c>
      <c r="AU15" s="16">
        <f t="shared" si="7"/>
        <v>3</v>
      </c>
      <c r="AV15" s="16" t="str">
        <f t="shared" si="8"/>
        <v>Australia_win</v>
      </c>
      <c r="AW15" s="16" t="str">
        <f t="shared" si="9"/>
        <v>Japan_lose</v>
      </c>
      <c r="AX15" s="16" t="str">
        <f t="shared" si="10"/>
        <v/>
      </c>
      <c r="AY15" s="16" t="str">
        <f t="shared" si="11"/>
        <v/>
      </c>
      <c r="AZ15" s="16" t="str">
        <f t="shared" si="12"/>
        <v/>
      </c>
      <c r="BA15" s="16" t="str">
        <f t="shared" si="13"/>
        <v/>
      </c>
      <c r="BB15" s="16" t="str">
        <f t="shared" si="14"/>
        <v/>
      </c>
      <c r="BC15" s="49" t="str">
        <f t="shared" si="15"/>
        <v/>
      </c>
      <c r="BD15" s="49" t="str">
        <f t="shared" si="16"/>
        <v/>
      </c>
      <c r="BE15" s="49" t="str">
        <f t="shared" si="17"/>
        <v/>
      </c>
      <c r="BF15" s="49" t="str">
        <f t="shared" si="18"/>
        <v/>
      </c>
      <c r="BG15" s="49" t="str">
        <f t="shared" si="19"/>
        <v/>
      </c>
      <c r="BH15" s="49" t="s">
        <v>33</v>
      </c>
      <c r="BI15" s="49">
        <v>-3</v>
      </c>
      <c r="BJ15" s="49" t="s">
        <v>34</v>
      </c>
      <c r="BK15" s="49">
        <v>9</v>
      </c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</row>
    <row r="16" spans="1:108" ht="13.5" customHeight="1">
      <c r="A16" s="21" t="str">
        <f>CONCATENATE(12+IF(GMT&gt;7,1,0)," ",INDEX(T,80,language))</f>
        <v>12 Jun</v>
      </c>
      <c r="B16" s="22">
        <f>TIME(16+GMT,GMT_MIN,0)</f>
        <v>0.75</v>
      </c>
      <c r="C16" s="51" t="str">
        <f>U37</f>
        <v>USA</v>
      </c>
      <c r="D16" s="15">
        <v>0</v>
      </c>
      <c r="E16" s="15">
        <v>3</v>
      </c>
      <c r="F16" s="53" t="str">
        <f>U38</f>
        <v>Czech Republic</v>
      </c>
      <c r="J16" s="40" t="str">
        <f>VLOOKUP(2,T14:AA17,2,FALSE)</f>
        <v>Paraguay</v>
      </c>
      <c r="K16" s="41">
        <f>VLOOKUP(2,T14:AA17,3,FALSE)</f>
        <v>1</v>
      </c>
      <c r="L16" s="41">
        <f>VLOOKUP(2,T14:AA17,4,FALSE)</f>
        <v>0</v>
      </c>
      <c r="M16" s="41">
        <f>VLOOKUP(2,T14:AA17,5,FALSE)</f>
        <v>2</v>
      </c>
      <c r="N16" s="41" t="str">
        <f>CONCATENATE(VLOOKUP(2,T14:AA17,6,FALSE)," - ",VLOOKUP(2,T14:AA17,7,FALSE))</f>
        <v>2 - 2</v>
      </c>
      <c r="O16" s="41">
        <f>VLOOKUP(2,T14:AA17,8,FALSE)</f>
        <v>3</v>
      </c>
      <c r="P16" s="47"/>
      <c r="R16" s="85">
        <f>5-(IF(S16&gt;S14,1,0)+IF(S16&gt;S15,1,0)+IF(S16&gt;S16,1,0)+IF(S16&gt;S17,1,0)+1)</f>
        <v>4</v>
      </c>
      <c r="S16" s="85">
        <f>IF(VLOOKUP(U16,J14:P17,7,FALSE)="",GMT_MIN,10-VLOOKUP(U16,J14:P17,7,FALSE))*10+T16</f>
        <v>1</v>
      </c>
      <c r="T16" s="85">
        <f>IF(AB16&gt;AB14,1,0)+IF(AB16&gt;AB15,1,0)+IF(AB16&gt;AB16,1,0)+IF(AB16&gt;AB17,1,0)+1</f>
        <v>1</v>
      </c>
      <c r="U16" s="16" t="str">
        <f>INDEX(T,9,language)</f>
        <v>Trinidad &amp; Tobago</v>
      </c>
      <c r="V16" s="35">
        <f>COUNTIF(AV7:AW54,CONCATENATE(U16,"_win"))</f>
        <v>0</v>
      </c>
      <c r="W16" s="35">
        <f>COUNTIF(AV7:AW54,CONCATENATE(U16,"_draw"))</f>
        <v>1</v>
      </c>
      <c r="X16" s="35">
        <f>COUNTIF(AV7:AW54,CONCATENATE(U16,"_lose"))</f>
        <v>2</v>
      </c>
      <c r="Y16" s="35">
        <f>SUMIF(AR7:AR54,CONCATENATE("=",U16),AS7:AS54)+SUMIF(AN7:AN54,CONCATENATE("=",U16),AO7:AO54)</f>
        <v>0</v>
      </c>
      <c r="Z16" s="35">
        <f>SUMIF(AT7:AT54,CONCATENATE("=",U16),AU7:AU54)+SUMIF(AP7:AP54,CONCATENATE("=",U16),AQ7:AQ54)</f>
        <v>4</v>
      </c>
      <c r="AA16" s="35">
        <f>V16*3+W16</f>
        <v>1</v>
      </c>
      <c r="AB16" s="35">
        <f>0.2+AK16+Y16*1000+(Y16-Z16)*100000+AA16*10000000</f>
        <v>9600000.1999999993</v>
      </c>
      <c r="AC16" s="16">
        <f>IF(COUNTIF(AA14:AA17,CONCATENATE("=",AA16))=1,0,COUNTIF(AA14:AA17,CONCATENATE("=",AA16)))*AA16</f>
        <v>0</v>
      </c>
      <c r="AF16" s="35">
        <f>IF(AA16=AE14,1,0)</f>
        <v>0</v>
      </c>
      <c r="AG16" s="35">
        <f>COUNTIF(AX7:AY54,CONCATENATE(U16,"_win"))</f>
        <v>0</v>
      </c>
      <c r="AH16" s="35">
        <f>SUMIF(BD7:BD54,CONCATENATE("=",U16),BE7:BE54)+SUMIF(AZ7:AZ54,CONCATENATE("=",U16),BA7:BA54)</f>
        <v>0</v>
      </c>
      <c r="AI16" s="35">
        <f>SUMIF(BF7:BF54,CONCATENATE("=",U16),BG7:BG54)+SUMIF(BB7:BB54,CONCATENATE("=",U16),BC7:BC54)</f>
        <v>0</v>
      </c>
      <c r="AJ16" s="16">
        <f>300*AG16+(AH16-AI16)*10+AH16</f>
        <v>0</v>
      </c>
      <c r="AK16" s="16">
        <f>IF(AJ16&gt;0,AJ16,0)</f>
        <v>0</v>
      </c>
      <c r="AM16" s="16">
        <f>VLOOKUP(F16,U7:AF59,12,FALSE)+VLOOKUP(C16,U7:AF59,12,FALSE)</f>
        <v>0</v>
      </c>
      <c r="AN16" s="16" t="str">
        <f t="shared" si="0"/>
        <v>USA</v>
      </c>
      <c r="AO16" s="16">
        <f t="shared" si="1"/>
        <v>0</v>
      </c>
      <c r="AP16" s="16" t="str">
        <f t="shared" si="2"/>
        <v>USA</v>
      </c>
      <c r="AQ16" s="16">
        <f t="shared" si="3"/>
        <v>3</v>
      </c>
      <c r="AR16" s="16" t="str">
        <f t="shared" si="4"/>
        <v>Czech Republic</v>
      </c>
      <c r="AS16" s="16">
        <f t="shared" si="5"/>
        <v>3</v>
      </c>
      <c r="AT16" s="16" t="str">
        <f t="shared" si="6"/>
        <v>Czech Republic</v>
      </c>
      <c r="AU16" s="16">
        <f t="shared" si="7"/>
        <v>0</v>
      </c>
      <c r="AV16" s="16" t="str">
        <f t="shared" si="8"/>
        <v>USA_lose</v>
      </c>
      <c r="AW16" s="16" t="str">
        <f t="shared" si="9"/>
        <v>Czech Republic_win</v>
      </c>
      <c r="AX16" s="16" t="str">
        <f t="shared" si="10"/>
        <v/>
      </c>
      <c r="AY16" s="16" t="str">
        <f t="shared" si="11"/>
        <v/>
      </c>
      <c r="AZ16" s="16" t="str">
        <f t="shared" si="12"/>
        <v/>
      </c>
      <c r="BA16" s="16" t="str">
        <f t="shared" si="13"/>
        <v/>
      </c>
      <c r="BB16" s="16" t="str">
        <f t="shared" si="14"/>
        <v/>
      </c>
      <c r="BC16" s="49" t="str">
        <f t="shared" si="15"/>
        <v/>
      </c>
      <c r="BD16" s="49" t="str">
        <f t="shared" si="16"/>
        <v/>
      </c>
      <c r="BE16" s="49" t="str">
        <f t="shared" si="17"/>
        <v/>
      </c>
      <c r="BF16" s="49" t="str">
        <f t="shared" si="18"/>
        <v/>
      </c>
      <c r="BG16" s="49" t="str">
        <f t="shared" si="19"/>
        <v/>
      </c>
      <c r="BH16" s="49" t="s">
        <v>35</v>
      </c>
      <c r="BI16" s="49">
        <v>-2</v>
      </c>
      <c r="BJ16" s="49" t="s">
        <v>36</v>
      </c>
      <c r="BK16" s="49">
        <v>10</v>
      </c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3.5" customHeight="1">
      <c r="A17" s="21" t="str">
        <f>CONCATENATE(12+IF(GMT&gt;4,1,0)," ",INDEX(T,80,language))</f>
        <v>12 Jun</v>
      </c>
      <c r="B17" s="22">
        <f>TIME(19+GMT,GMT_MIN,0)</f>
        <v>0.875</v>
      </c>
      <c r="C17" s="51" t="str">
        <f>U35</f>
        <v>Italy</v>
      </c>
      <c r="D17" s="15">
        <v>2</v>
      </c>
      <c r="E17" s="15">
        <v>0</v>
      </c>
      <c r="F17" s="53" t="str">
        <f>U36</f>
        <v>Ghana</v>
      </c>
      <c r="J17" s="42" t="str">
        <f>VLOOKUP(1,T14:AA17,2,FALSE)</f>
        <v>Trinidad &amp; Tobago</v>
      </c>
      <c r="K17" s="43">
        <f>VLOOKUP(1,T14:AA17,3,FALSE)</f>
        <v>0</v>
      </c>
      <c r="L17" s="43">
        <f>VLOOKUP(1,T14:AA17,4,FALSE)</f>
        <v>1</v>
      </c>
      <c r="M17" s="43">
        <f>VLOOKUP(1,T14:AA17,5,FALSE)</f>
        <v>2</v>
      </c>
      <c r="N17" s="43" t="str">
        <f>CONCATENATE(VLOOKUP(1,T14:AA17,6,FALSE)," - ",VLOOKUP(1,T14:AA17,7,FALSE))</f>
        <v>0 - 4</v>
      </c>
      <c r="O17" s="43">
        <f>VLOOKUP(1,T14:AA17,8,FALSE)</f>
        <v>1</v>
      </c>
      <c r="P17" s="48"/>
      <c r="R17" s="85">
        <f>5-(IF(S17&gt;S14,1,0)+IF(S17&gt;S15,1,0)+IF(S17&gt;S16,1,0)+IF(S17&gt;S17,1,0)+1)</f>
        <v>2</v>
      </c>
      <c r="S17" s="85">
        <f>IF(VLOOKUP(U17,J14:P17,7,FALSE)="",GMT_MIN,10-VLOOKUP(U17,J14:P17,7,FALSE))*10+T17</f>
        <v>3</v>
      </c>
      <c r="T17" s="85">
        <f>IF(AB17&gt;AB14,1,0)+IF(AB17&gt;AB15,1,0)+IF(AB17&gt;AB16,1,0)+IF(AB17&gt;AB17,1,0)+1</f>
        <v>3</v>
      </c>
      <c r="U17" s="16" t="str">
        <f>INDEX(T,10,language)</f>
        <v>Sweden</v>
      </c>
      <c r="V17" s="35">
        <f>COUNTIF(AV7:AW54,CONCATENATE(U17,"_win"))</f>
        <v>1</v>
      </c>
      <c r="W17" s="35">
        <f>COUNTIF(AV7:AW54,CONCATENATE(U17,"_draw"))</f>
        <v>2</v>
      </c>
      <c r="X17" s="35">
        <f>COUNTIF(AV7:AW54,CONCATENATE(U17,"_lose"))</f>
        <v>0</v>
      </c>
      <c r="Y17" s="35">
        <f>SUMIF(AR7:AR54,CONCATENATE("=",U17),AS7:AS54)+SUMIF(AN7:AN54,CONCATENATE("=",U17),AO7:AO54)</f>
        <v>3</v>
      </c>
      <c r="Z17" s="35">
        <f>SUMIF(AT7:AT54,CONCATENATE("=",U17),AU7:AU54)+SUMIF(AP7:AP54,CONCATENATE("=",U17),AQ7:AQ54)</f>
        <v>2</v>
      </c>
      <c r="AA17" s="35">
        <f>V17*3+W17</f>
        <v>5</v>
      </c>
      <c r="AB17" s="35">
        <f>0.1+AK17+Y17*1000+(Y17-Z17)*100000+AA17*10000000</f>
        <v>50103000.100000001</v>
      </c>
      <c r="AC17" s="16">
        <f>IF(COUNTIF(AA14:AA17,CONCATENATE("=",AA17))=1,0,COUNTIF(AA14:AA17,CONCATENATE("=",AA17)))*AA17</f>
        <v>0</v>
      </c>
      <c r="AF17" s="35">
        <f>IF(AA17=AE14,1,0)</f>
        <v>0</v>
      </c>
      <c r="AG17" s="35">
        <f>COUNTIF(AX7:AY54,CONCATENATE(U17,"_win"))</f>
        <v>0</v>
      </c>
      <c r="AH17" s="35">
        <f>SUMIF(BD7:BD54,CONCATENATE("=",U17),BE7:BE54)+SUMIF(AZ7:AZ54,CONCATENATE("=",U17),BA7:BA54)</f>
        <v>0</v>
      </c>
      <c r="AI17" s="35">
        <f>SUMIF(BF7:BF54,CONCATENATE("=",U17),BG7:BG54)+SUMIF(BB7:BB54,CONCATENATE("=",U17),BC7:BC54)</f>
        <v>0</v>
      </c>
      <c r="AJ17" s="16">
        <f>300*AG17+(AH17-AI17)*10+AH17</f>
        <v>0</v>
      </c>
      <c r="AK17" s="16">
        <f>IF(AJ17&gt;0,AJ17,0)</f>
        <v>0</v>
      </c>
      <c r="AM17" s="16">
        <f>VLOOKUP(F17,U7:AF59,12,FALSE)+VLOOKUP(C17,U7:AF59,12,FALSE)</f>
        <v>1</v>
      </c>
      <c r="AN17" s="16" t="str">
        <f t="shared" si="0"/>
        <v>Italy</v>
      </c>
      <c r="AO17" s="16">
        <f t="shared" si="1"/>
        <v>2</v>
      </c>
      <c r="AP17" s="16" t="str">
        <f t="shared" si="2"/>
        <v>Italy</v>
      </c>
      <c r="AQ17" s="16">
        <f t="shared" si="3"/>
        <v>0</v>
      </c>
      <c r="AR17" s="16" t="str">
        <f t="shared" si="4"/>
        <v>Ghana</v>
      </c>
      <c r="AS17" s="16">
        <f t="shared" si="5"/>
        <v>0</v>
      </c>
      <c r="AT17" s="16" t="str">
        <f t="shared" si="6"/>
        <v>Ghana</v>
      </c>
      <c r="AU17" s="16">
        <f t="shared" si="7"/>
        <v>2</v>
      </c>
      <c r="AV17" s="16" t="str">
        <f t="shared" si="8"/>
        <v>Italy_win</v>
      </c>
      <c r="AW17" s="16" t="str">
        <f t="shared" si="9"/>
        <v>Ghana_lose</v>
      </c>
      <c r="AX17" s="16" t="str">
        <f t="shared" si="10"/>
        <v/>
      </c>
      <c r="AY17" s="16" t="str">
        <f t="shared" si="11"/>
        <v/>
      </c>
      <c r="AZ17" s="16" t="str">
        <f t="shared" si="12"/>
        <v/>
      </c>
      <c r="BA17" s="16" t="str">
        <f t="shared" si="13"/>
        <v/>
      </c>
      <c r="BB17" s="16" t="str">
        <f t="shared" si="14"/>
        <v/>
      </c>
      <c r="BC17" s="49" t="str">
        <f t="shared" si="15"/>
        <v/>
      </c>
      <c r="BD17" s="49" t="str">
        <f t="shared" si="16"/>
        <v/>
      </c>
      <c r="BE17" s="49" t="str">
        <f t="shared" si="17"/>
        <v/>
      </c>
      <c r="BF17" s="49" t="str">
        <f t="shared" si="18"/>
        <v/>
      </c>
      <c r="BG17" s="49" t="str">
        <f t="shared" si="19"/>
        <v/>
      </c>
      <c r="BH17" s="49" t="s">
        <v>37</v>
      </c>
      <c r="BI17" s="49">
        <v>-1</v>
      </c>
      <c r="BJ17" s="49" t="s">
        <v>38</v>
      </c>
      <c r="BK17" s="49">
        <v>11</v>
      </c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3.5" customHeight="1">
      <c r="A18" s="21" t="str">
        <f>CONCATENATE(13+IF(GMT&gt;10,1,0)," ",INDEX(T,80,language))</f>
        <v>13 Jun</v>
      </c>
      <c r="B18" s="22">
        <f>TIME(13+GMT,GMT_MIN,0)</f>
        <v>0.625</v>
      </c>
      <c r="C18" s="51" t="str">
        <f>U51</f>
        <v>South Korea</v>
      </c>
      <c r="D18" s="15">
        <v>2</v>
      </c>
      <c r="E18" s="15">
        <v>1</v>
      </c>
      <c r="F18" s="53" t="str">
        <f>U52</f>
        <v>Togo</v>
      </c>
      <c r="J18" s="44"/>
      <c r="K18" s="45"/>
      <c r="L18" s="45"/>
      <c r="M18" s="45"/>
      <c r="N18" s="45"/>
      <c r="O18" s="45"/>
      <c r="P18" s="45"/>
      <c r="AC18" s="16">
        <f>MAX(AC14:AC17)</f>
        <v>0</v>
      </c>
      <c r="AM18" s="16">
        <f>VLOOKUP(F18,U7:AF59,12,FALSE)+VLOOKUP(C18,U7:AF59,12,FALSE)</f>
        <v>0</v>
      </c>
      <c r="AN18" s="16" t="str">
        <f t="shared" si="0"/>
        <v>South Korea</v>
      </c>
      <c r="AO18" s="16">
        <f t="shared" si="1"/>
        <v>2</v>
      </c>
      <c r="AP18" s="16" t="str">
        <f t="shared" si="2"/>
        <v>South Korea</v>
      </c>
      <c r="AQ18" s="16">
        <f t="shared" si="3"/>
        <v>1</v>
      </c>
      <c r="AR18" s="16" t="str">
        <f t="shared" si="4"/>
        <v>Togo</v>
      </c>
      <c r="AS18" s="16">
        <f t="shared" si="5"/>
        <v>1</v>
      </c>
      <c r="AT18" s="16" t="str">
        <f t="shared" si="6"/>
        <v>Togo</v>
      </c>
      <c r="AU18" s="16">
        <f t="shared" si="7"/>
        <v>2</v>
      </c>
      <c r="AV18" s="16" t="str">
        <f t="shared" si="8"/>
        <v>South Korea_win</v>
      </c>
      <c r="AW18" s="16" t="str">
        <f t="shared" si="9"/>
        <v>Togo_lose</v>
      </c>
      <c r="AX18" s="16" t="str">
        <f t="shared" si="10"/>
        <v/>
      </c>
      <c r="AY18" s="16" t="str">
        <f t="shared" si="11"/>
        <v/>
      </c>
      <c r="AZ18" s="16" t="str">
        <f t="shared" si="12"/>
        <v/>
      </c>
      <c r="BA18" s="16" t="str">
        <f t="shared" si="13"/>
        <v/>
      </c>
      <c r="BB18" s="16" t="str">
        <f t="shared" si="14"/>
        <v/>
      </c>
      <c r="BC18" s="49" t="str">
        <f t="shared" si="15"/>
        <v/>
      </c>
      <c r="BD18" s="49" t="str">
        <f t="shared" si="16"/>
        <v/>
      </c>
      <c r="BE18" s="49" t="str">
        <f t="shared" si="17"/>
        <v/>
      </c>
      <c r="BF18" s="49" t="str">
        <f t="shared" si="18"/>
        <v/>
      </c>
      <c r="BG18" s="49" t="str">
        <f t="shared" si="19"/>
        <v/>
      </c>
      <c r="BH18" s="49" t="s">
        <v>39</v>
      </c>
      <c r="BI18" s="49">
        <v>0</v>
      </c>
      <c r="BJ18" s="49" t="s">
        <v>40</v>
      </c>
      <c r="BK18" s="49">
        <v>12</v>
      </c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13.5" customHeight="1">
      <c r="A19" s="21" t="str">
        <f>CONCATENATE(13+IF(GMT&gt;7,1,0)," ",INDEX(T,80,language))</f>
        <v>13 Jun</v>
      </c>
      <c r="B19" s="22">
        <f>TIME(16+GMT,GMT_MIN,0)</f>
        <v>0.75</v>
      </c>
      <c r="C19" s="51" t="str">
        <f>U49</f>
        <v>France</v>
      </c>
      <c r="D19" s="15">
        <v>0</v>
      </c>
      <c r="E19" s="15">
        <v>0</v>
      </c>
      <c r="F19" s="53" t="str">
        <f>U50</f>
        <v>Switzerland</v>
      </c>
      <c r="J19" s="74" t="str">
        <f>CONCATENATE(INDEX(T,40,language)," C")</f>
        <v>Group C</v>
      </c>
      <c r="K19" s="76" t="str">
        <f>INDEX(T,35,language)</f>
        <v>W</v>
      </c>
      <c r="L19" s="76" t="str">
        <f>INDEX(T,36,language)</f>
        <v>D</v>
      </c>
      <c r="M19" s="76" t="str">
        <f>INDEX(T,37,language)</f>
        <v>L</v>
      </c>
      <c r="N19" s="76" t="str">
        <f>INDEX(T,38,language)</f>
        <v>F - A</v>
      </c>
      <c r="O19" s="76" t="str">
        <f>INDEX(T,39,language)</f>
        <v>Pnt</v>
      </c>
      <c r="P19" s="60" t="s">
        <v>1</v>
      </c>
      <c r="AM19" s="16">
        <f>VLOOKUP(F19,U7:AF59,12,FALSE)+VLOOKUP(C19,U7:AF59,12,FALSE)</f>
        <v>1</v>
      </c>
      <c r="AN19" s="16" t="str">
        <f t="shared" si="0"/>
        <v>France</v>
      </c>
      <c r="AO19" s="16">
        <f t="shared" si="1"/>
        <v>0</v>
      </c>
      <c r="AP19" s="16" t="str">
        <f t="shared" si="2"/>
        <v>France</v>
      </c>
      <c r="AQ19" s="16">
        <f t="shared" si="3"/>
        <v>0</v>
      </c>
      <c r="AR19" s="16" t="str">
        <f t="shared" si="4"/>
        <v>Switzerland</v>
      </c>
      <c r="AS19" s="16">
        <f t="shared" si="5"/>
        <v>0</v>
      </c>
      <c r="AT19" s="16" t="str">
        <f t="shared" si="6"/>
        <v>Switzerland</v>
      </c>
      <c r="AU19" s="16">
        <f t="shared" si="7"/>
        <v>0</v>
      </c>
      <c r="AV19" s="16" t="str">
        <f t="shared" si="8"/>
        <v>France_draw</v>
      </c>
      <c r="AW19" s="16" t="str">
        <f t="shared" si="9"/>
        <v>Switzerland_draw</v>
      </c>
      <c r="AX19" s="16" t="str">
        <f t="shared" si="10"/>
        <v/>
      </c>
      <c r="AY19" s="16" t="str">
        <f t="shared" si="11"/>
        <v/>
      </c>
      <c r="AZ19" s="16" t="str">
        <f t="shared" si="12"/>
        <v/>
      </c>
      <c r="BA19" s="16" t="str">
        <f t="shared" si="13"/>
        <v/>
      </c>
      <c r="BB19" s="16" t="str">
        <f t="shared" si="14"/>
        <v/>
      </c>
      <c r="BC19" s="49" t="str">
        <f t="shared" si="15"/>
        <v/>
      </c>
      <c r="BD19" s="49" t="str">
        <f t="shared" si="16"/>
        <v/>
      </c>
      <c r="BE19" s="49" t="str">
        <f t="shared" si="17"/>
        <v/>
      </c>
      <c r="BF19" s="49" t="str">
        <f t="shared" si="18"/>
        <v/>
      </c>
      <c r="BG19" s="49" t="str">
        <f t="shared" si="19"/>
        <v/>
      </c>
      <c r="BH19" s="49" t="s">
        <v>41</v>
      </c>
      <c r="BI19" s="49">
        <v>1</v>
      </c>
      <c r="BJ19" s="49" t="s">
        <v>42</v>
      </c>
      <c r="BK19" s="49">
        <v>13</v>
      </c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3.5" customHeight="1">
      <c r="A20" s="21" t="str">
        <f>CONCATENATE(13+IF(GMT&gt;4,1,0)," ",INDEX(T,80,language))</f>
        <v>13 Jun</v>
      </c>
      <c r="B20" s="22">
        <f>TIME(19+GMT,GMT_MIN,0)</f>
        <v>0.875</v>
      </c>
      <c r="C20" s="51" t="str">
        <f>U42</f>
        <v>Brazil</v>
      </c>
      <c r="D20" s="15">
        <v>1</v>
      </c>
      <c r="E20" s="15">
        <v>0</v>
      </c>
      <c r="F20" s="53" t="str">
        <f>U43</f>
        <v>Croatia</v>
      </c>
      <c r="J20" s="75"/>
      <c r="K20" s="77"/>
      <c r="L20" s="77"/>
      <c r="M20" s="77"/>
      <c r="N20" s="77"/>
      <c r="O20" s="77"/>
      <c r="P20" s="61"/>
      <c r="AM20" s="16">
        <f>VLOOKUP(F20,U7:AF59,12,FALSE)+VLOOKUP(C20,U7:AF59,12,FALSE)</f>
        <v>1</v>
      </c>
      <c r="AN20" s="16" t="str">
        <f t="shared" si="0"/>
        <v>Brazil</v>
      </c>
      <c r="AO20" s="16">
        <f t="shared" si="1"/>
        <v>1</v>
      </c>
      <c r="AP20" s="16" t="str">
        <f t="shared" si="2"/>
        <v>Brazil</v>
      </c>
      <c r="AQ20" s="16">
        <f t="shared" si="3"/>
        <v>0</v>
      </c>
      <c r="AR20" s="16" t="str">
        <f t="shared" si="4"/>
        <v>Croatia</v>
      </c>
      <c r="AS20" s="16">
        <f t="shared" si="5"/>
        <v>0</v>
      </c>
      <c r="AT20" s="16" t="str">
        <f t="shared" si="6"/>
        <v>Croatia</v>
      </c>
      <c r="AU20" s="16">
        <f t="shared" si="7"/>
        <v>1</v>
      </c>
      <c r="AV20" s="16" t="str">
        <f t="shared" si="8"/>
        <v>Brazil_win</v>
      </c>
      <c r="AW20" s="16" t="str">
        <f t="shared" si="9"/>
        <v>Croatia_lose</v>
      </c>
      <c r="AX20" s="16" t="str">
        <f t="shared" si="10"/>
        <v/>
      </c>
      <c r="AY20" s="16" t="str">
        <f t="shared" si="11"/>
        <v/>
      </c>
      <c r="AZ20" s="16" t="str">
        <f t="shared" si="12"/>
        <v/>
      </c>
      <c r="BA20" s="16" t="str">
        <f t="shared" si="13"/>
        <v/>
      </c>
      <c r="BB20" s="16" t="str">
        <f t="shared" si="14"/>
        <v/>
      </c>
      <c r="BC20" s="49" t="str">
        <f t="shared" si="15"/>
        <v/>
      </c>
      <c r="BD20" s="49" t="str">
        <f t="shared" si="16"/>
        <v/>
      </c>
      <c r="BE20" s="49" t="str">
        <f t="shared" si="17"/>
        <v/>
      </c>
      <c r="BF20" s="49" t="str">
        <f t="shared" si="18"/>
        <v/>
      </c>
      <c r="BG20" s="49" t="str">
        <f t="shared" si="19"/>
        <v/>
      </c>
      <c r="BH20" s="49" t="s">
        <v>12</v>
      </c>
      <c r="BI20" s="49">
        <v>2</v>
      </c>
      <c r="BJ20" s="49" t="s">
        <v>43</v>
      </c>
      <c r="BK20" s="49">
        <v>14</v>
      </c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3.5" customHeight="1">
      <c r="A21" s="21" t="str">
        <f>CONCATENATE(14+IF(GMT&gt;10,1,0)," ",INDEX(T,80,language))</f>
        <v>14 Jun</v>
      </c>
      <c r="B21" s="22">
        <f>TIME(13+GMT,GMT_MIN,0)</f>
        <v>0.625</v>
      </c>
      <c r="C21" s="51" t="str">
        <f>U56</f>
        <v>Spain</v>
      </c>
      <c r="D21" s="15">
        <v>4</v>
      </c>
      <c r="E21" s="15">
        <v>0</v>
      </c>
      <c r="F21" s="53" t="str">
        <f>U57</f>
        <v>Ukraine</v>
      </c>
      <c r="J21" s="38" t="str">
        <f>VLOOKUP(4,T21:AA24,2,FALSE)</f>
        <v>Argentina</v>
      </c>
      <c r="K21" s="39">
        <f>VLOOKUP(4,T21:AA24,3,FALSE)</f>
        <v>2</v>
      </c>
      <c r="L21" s="39">
        <f>VLOOKUP(4,T21:AA24,4,FALSE)</f>
        <v>1</v>
      </c>
      <c r="M21" s="39">
        <f>VLOOKUP(4,T21:AA24,5,FALSE)</f>
        <v>0</v>
      </c>
      <c r="N21" s="39" t="str">
        <f>CONCATENATE(VLOOKUP(4,T21:AA24,6,FALSE)," - ",VLOOKUP(4,T21:AA24,7,FALSE))</f>
        <v>8 - 1</v>
      </c>
      <c r="O21" s="39">
        <f>VLOOKUP(4,T21:AA24,8,FALSE)</f>
        <v>7</v>
      </c>
      <c r="P21" s="46"/>
      <c r="R21" s="85">
        <f>5-(IF(S21&gt;S21,1,0)+IF(S21&gt;S22,1,0)+IF(S21&gt;S23,1,0)+IF(S21&gt;S24,1,0)+1)</f>
        <v>1</v>
      </c>
      <c r="S21" s="85">
        <f>IF(VLOOKUP(U21,J21:P24,7,FALSE)="",GMT_MIN,10-VLOOKUP(U21,J21:P24,7,FALSE))*10+T21</f>
        <v>4</v>
      </c>
      <c r="T21" s="85">
        <f>IF(AB21&gt;AB21,1,0)+IF(AB21&gt;AB22,1,0)+IF(AB21&gt;AB23,1,0)+IF(AB21&gt;AB24,1,0)+1</f>
        <v>4</v>
      </c>
      <c r="U21" s="16" t="str">
        <f>INDEX(T,11,language)</f>
        <v>Argentina</v>
      </c>
      <c r="V21" s="35">
        <f>COUNTIF(AV7:AW54,CONCATENATE(U21,"_win"))</f>
        <v>2</v>
      </c>
      <c r="W21" s="35">
        <f>COUNTIF(AV7:AW54,CONCATENATE(U21,"_draw"))</f>
        <v>1</v>
      </c>
      <c r="X21" s="35">
        <f>COUNTIF(AV7:AW54,CONCATENATE(U21,"_lose"))</f>
        <v>0</v>
      </c>
      <c r="Y21" s="35">
        <f>SUMIF(AR7:AR54,CONCATENATE("=",U21),AS7:AS54)+SUMIF(AN7:AN54,CONCATENATE("=",U21),AO7:AO54)</f>
        <v>8</v>
      </c>
      <c r="Z21" s="35">
        <f>SUMIF(AT7:AT54,CONCATENATE("=",U21),AU7:AU54)+SUMIF(AP7:AP54,CONCATENATE("=",U21),AQ7:AQ54)</f>
        <v>1</v>
      </c>
      <c r="AA21" s="35">
        <f>V21*3+W21</f>
        <v>7</v>
      </c>
      <c r="AB21" s="35">
        <f>0.4+AK21+Y21*1000+(Y21-Z21)*100000+AA21*10000000</f>
        <v>70708000.400000006</v>
      </c>
      <c r="AC21" s="16">
        <f>IF(COUNTIF(AA21:AA24,CONCATENATE("=",AA21))=1,0,COUNTIF(AA21:AA24,CONCATENATE("=",AA21)))*AA21</f>
        <v>14</v>
      </c>
      <c r="AD21" s="16" t="str">
        <f>IF(SUM(V21:X24)=12,VLOOKUP(1,R21:U24,4,FALSE),INDEX(T,52,language))</f>
        <v>Argentina</v>
      </c>
      <c r="AE21" s="35">
        <f>IF(AC21=AC25,AA21,IF(AC22=AC25,AA22,IF(AC23=AC25,AA23,AA24)))</f>
        <v>7</v>
      </c>
      <c r="AF21" s="35">
        <f>IF(AA21=AE21,1,0)</f>
        <v>1</v>
      </c>
      <c r="AG21" s="35">
        <f>COUNTIF(AX7:AY54,CONCATENATE(U21,"_win"))</f>
        <v>0</v>
      </c>
      <c r="AH21" s="35">
        <f>SUMIF(BD7:BD54,CONCATENATE("=",U21),BE7:BE54)+SUMIF(AZ7:AZ54,CONCATENATE("=",U21),BA7:BA54)</f>
        <v>0</v>
      </c>
      <c r="AI21" s="35">
        <f>SUMIF(BF7:BF54,CONCATENATE("=",U21),BG7:BG54)+SUMIF(BB7:BB54,CONCATENATE("=",U21),BC7:BC54)</f>
        <v>0</v>
      </c>
      <c r="AJ21" s="16">
        <f>300*AG21+(AH21-AI21)*10+AH21</f>
        <v>0</v>
      </c>
      <c r="AK21" s="16">
        <f>IF(AJ21&gt;0,AJ21,0)</f>
        <v>0</v>
      </c>
      <c r="AM21" s="16">
        <f>VLOOKUP(F21,U7:AF59,12,FALSE)+VLOOKUP(C21,U7:AF59,12,FALSE)</f>
        <v>0</v>
      </c>
      <c r="AN21" s="16" t="str">
        <f t="shared" si="0"/>
        <v>Spain</v>
      </c>
      <c r="AO21" s="16">
        <f t="shared" si="1"/>
        <v>4</v>
      </c>
      <c r="AP21" s="16" t="str">
        <f t="shared" si="2"/>
        <v>Spain</v>
      </c>
      <c r="AQ21" s="16">
        <f t="shared" si="3"/>
        <v>0</v>
      </c>
      <c r="AR21" s="16" t="str">
        <f t="shared" si="4"/>
        <v>Ukraine</v>
      </c>
      <c r="AS21" s="16">
        <f t="shared" si="5"/>
        <v>0</v>
      </c>
      <c r="AT21" s="16" t="str">
        <f t="shared" si="6"/>
        <v>Ukraine</v>
      </c>
      <c r="AU21" s="16">
        <f t="shared" si="7"/>
        <v>4</v>
      </c>
      <c r="AV21" s="16" t="str">
        <f t="shared" si="8"/>
        <v>Spain_win</v>
      </c>
      <c r="AW21" s="16" t="str">
        <f t="shared" si="9"/>
        <v>Ukraine_lose</v>
      </c>
      <c r="AX21" s="16" t="str">
        <f t="shared" si="10"/>
        <v/>
      </c>
      <c r="AY21" s="16" t="str">
        <f t="shared" si="11"/>
        <v/>
      </c>
      <c r="AZ21" s="16" t="str">
        <f t="shared" si="12"/>
        <v/>
      </c>
      <c r="BA21" s="16" t="str">
        <f t="shared" si="13"/>
        <v/>
      </c>
      <c r="BB21" s="16" t="str">
        <f t="shared" si="14"/>
        <v/>
      </c>
      <c r="BC21" s="49" t="str">
        <f t="shared" si="15"/>
        <v/>
      </c>
      <c r="BD21" s="49" t="str">
        <f t="shared" si="16"/>
        <v/>
      </c>
      <c r="BE21" s="49" t="str">
        <f t="shared" si="17"/>
        <v/>
      </c>
      <c r="BF21" s="49" t="str">
        <f t="shared" si="18"/>
        <v/>
      </c>
      <c r="BG21" s="49" t="str">
        <f t="shared" si="19"/>
        <v/>
      </c>
      <c r="BH21" s="49" t="s">
        <v>44</v>
      </c>
      <c r="BI21" s="49">
        <v>3</v>
      </c>
      <c r="BJ21" s="49" t="s">
        <v>45</v>
      </c>
      <c r="BK21" s="49">
        <v>15</v>
      </c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13.5" customHeight="1">
      <c r="A22" s="21" t="str">
        <f>CONCATENATE(14+IF(GMT&gt;7,1,0)," ",INDEX(T,80,language))</f>
        <v>14 Jun</v>
      </c>
      <c r="B22" s="22">
        <f>TIME(16+GMT,GMT_MIN,0)</f>
        <v>0.75</v>
      </c>
      <c r="C22" s="51" t="str">
        <f>U58</f>
        <v>Tunisia</v>
      </c>
      <c r="D22" s="15">
        <v>2</v>
      </c>
      <c r="E22" s="15">
        <v>2</v>
      </c>
      <c r="F22" s="53" t="str">
        <f>U59</f>
        <v>Saudi Arabia</v>
      </c>
      <c r="J22" s="40" t="str">
        <f>VLOOKUP(3,T21:AA24,2,FALSE)</f>
        <v>Netherlands</v>
      </c>
      <c r="K22" s="41">
        <f>VLOOKUP(3,T21:AA24,3,FALSE)</f>
        <v>2</v>
      </c>
      <c r="L22" s="41">
        <f>VLOOKUP(3,T21:AA24,4,FALSE)</f>
        <v>1</v>
      </c>
      <c r="M22" s="41">
        <f>VLOOKUP(3,T21:AA24,5,FALSE)</f>
        <v>0</v>
      </c>
      <c r="N22" s="41" t="str">
        <f>CONCATENATE(VLOOKUP(3,T21:AA24,6,FALSE)," - ",VLOOKUP(3,T21:AA24,7,FALSE))</f>
        <v>3 - 1</v>
      </c>
      <c r="O22" s="41">
        <f>VLOOKUP(3,T21:AA24,8,FALSE)</f>
        <v>7</v>
      </c>
      <c r="P22" s="47"/>
      <c r="R22" s="85">
        <f>5-(IF(S22&gt;S21,1,0)+IF(S22&gt;S22,1,0)+IF(S22&gt;S23,1,0)+IF(S22&gt;S24,1,0)+1)</f>
        <v>3</v>
      </c>
      <c r="S22" s="85">
        <f>IF(VLOOKUP(U22,J21:P24,7,FALSE)="",GMT_MIN,10-VLOOKUP(U22,J21:P24,7,FALSE))*10+T22</f>
        <v>2</v>
      </c>
      <c r="T22" s="85">
        <f>IF(AB22&gt;AB21,1,0)+IF(AB22&gt;AB22,1,0)+IF(AB22&gt;AB23,1,0)+IF(AB22&gt;AB24,1,0)+1</f>
        <v>2</v>
      </c>
      <c r="U22" s="16" t="str">
        <f>INDEX(T,12,language)</f>
        <v>C�te d'Ivoire</v>
      </c>
      <c r="V22" s="35">
        <f>COUNTIF(AV7:AW54,CONCATENATE(U22,"_win"))</f>
        <v>1</v>
      </c>
      <c r="W22" s="35">
        <f>COUNTIF(AV7:AW54,CONCATENATE(U22,"_draw"))</f>
        <v>0</v>
      </c>
      <c r="X22" s="35">
        <f>COUNTIF(AV7:AW54,CONCATENATE(U22,"_lose"))</f>
        <v>2</v>
      </c>
      <c r="Y22" s="35">
        <f>SUMIF(AR7:AR54,CONCATENATE("=",U22),AS7:AS54)+SUMIF(AN7:AN54,CONCATENATE("=",U22),AO7:AO54)</f>
        <v>5</v>
      </c>
      <c r="Z22" s="35">
        <f>SUMIF(AT7:AT54,CONCATENATE("=",U22),AU7:AU54)+SUMIF(AP7:AP54,CONCATENATE("=",U22),AQ7:AQ54)</f>
        <v>6</v>
      </c>
      <c r="AA22" s="35">
        <f>V22*3+W22</f>
        <v>3</v>
      </c>
      <c r="AB22" s="35">
        <f>0.3+AK22+Y22*1000+(Y22-Z22)*100000+AA22*10000000</f>
        <v>29905000.300000001</v>
      </c>
      <c r="AC22" s="16">
        <f>IF(COUNTIF(AA21:AA24,CONCATENATE("=",AA22))=1,0,COUNTIF(AA21:AA24,CONCATENATE("=",AA22)))*AA22</f>
        <v>0</v>
      </c>
      <c r="AD22" s="16" t="str">
        <f>IF(SUM(V21:X24)=12,VLOOKUP(2,R21:U24,4,FALSE),INDEX(T,53,language))</f>
        <v>Netherlands</v>
      </c>
      <c r="AF22" s="35">
        <f>IF(AA22=AE21,1,0)</f>
        <v>0</v>
      </c>
      <c r="AG22" s="35">
        <f>COUNTIF(AX7:AY54,CONCATENATE(U22,"_win"))</f>
        <v>0</v>
      </c>
      <c r="AH22" s="35">
        <f>SUMIF(BD7:BD54,CONCATENATE("=",U22),BE7:BE54)+SUMIF(AZ7:AZ54,CONCATENATE("=",U22),BA7:BA54)</f>
        <v>0</v>
      </c>
      <c r="AI22" s="35">
        <f>SUMIF(BF7:BF54,CONCATENATE("=",U22),BG7:BG54)+SUMIF(BB7:BB54,CONCATENATE("=",U22),BC7:BC54)</f>
        <v>0</v>
      </c>
      <c r="AJ22" s="16">
        <f>300*AG22+(AH22-AI22)*10+AH22</f>
        <v>0</v>
      </c>
      <c r="AK22" s="16">
        <f>IF(AJ22&gt;0,AJ22,0)</f>
        <v>0</v>
      </c>
      <c r="AM22" s="16">
        <f>VLOOKUP(F22,U7:AF59,12,FALSE)+VLOOKUP(C22,U7:AF59,12,FALSE)</f>
        <v>2</v>
      </c>
      <c r="AN22" s="16" t="str">
        <f t="shared" si="0"/>
        <v>Tunisia</v>
      </c>
      <c r="AO22" s="16">
        <f t="shared" si="1"/>
        <v>2</v>
      </c>
      <c r="AP22" s="16" t="str">
        <f t="shared" si="2"/>
        <v>Tunisia</v>
      </c>
      <c r="AQ22" s="16">
        <f t="shared" si="3"/>
        <v>2</v>
      </c>
      <c r="AR22" s="16" t="str">
        <f t="shared" si="4"/>
        <v>Saudi Arabia</v>
      </c>
      <c r="AS22" s="16">
        <f t="shared" si="5"/>
        <v>2</v>
      </c>
      <c r="AT22" s="16" t="str">
        <f t="shared" si="6"/>
        <v>Saudi Arabia</v>
      </c>
      <c r="AU22" s="16">
        <f t="shared" si="7"/>
        <v>2</v>
      </c>
      <c r="AV22" s="16" t="str">
        <f t="shared" si="8"/>
        <v>Tunisia_draw</v>
      </c>
      <c r="AW22" s="16" t="str">
        <f t="shared" si="9"/>
        <v>Saudi Arabia_draw</v>
      </c>
      <c r="AX22" s="16" t="str">
        <f t="shared" si="10"/>
        <v>Tunisia_draw</v>
      </c>
      <c r="AY22" s="16" t="str">
        <f t="shared" si="11"/>
        <v>Saudi Arabia_draw</v>
      </c>
      <c r="AZ22" s="16" t="str">
        <f t="shared" si="12"/>
        <v>Tunisia</v>
      </c>
      <c r="BA22" s="16">
        <f t="shared" si="13"/>
        <v>2</v>
      </c>
      <c r="BB22" s="16" t="str">
        <f t="shared" si="14"/>
        <v>Tunisia</v>
      </c>
      <c r="BC22" s="49">
        <f t="shared" si="15"/>
        <v>2</v>
      </c>
      <c r="BD22" s="49" t="str">
        <f t="shared" si="16"/>
        <v>Saudi Arabia</v>
      </c>
      <c r="BE22" s="49">
        <f t="shared" si="17"/>
        <v>2</v>
      </c>
      <c r="BF22" s="49" t="str">
        <f t="shared" si="18"/>
        <v>Saudi Arabia</v>
      </c>
      <c r="BG22" s="49">
        <f t="shared" si="19"/>
        <v>2</v>
      </c>
      <c r="BH22" s="49" t="s">
        <v>46</v>
      </c>
      <c r="BI22" s="49">
        <v>4</v>
      </c>
      <c r="BJ22" s="49" t="s">
        <v>47</v>
      </c>
      <c r="BK22" s="49">
        <v>16</v>
      </c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13.5" customHeight="1">
      <c r="A23" s="21" t="str">
        <f>CONCATENATE(14+IF(GMT&gt;4,1,0)," ",INDEX(T,80,language))</f>
        <v>14 Jun</v>
      </c>
      <c r="B23" s="22">
        <f>TIME(19+GMT,GMT_MIN,0)</f>
        <v>0.875</v>
      </c>
      <c r="C23" s="52" t="str">
        <f>U7</f>
        <v>Germany</v>
      </c>
      <c r="D23" s="15">
        <v>1</v>
      </c>
      <c r="E23" s="15">
        <v>0</v>
      </c>
      <c r="F23" s="53" t="str">
        <f>U9</f>
        <v>Poland</v>
      </c>
      <c r="J23" s="40" t="str">
        <f>VLOOKUP(2,T21:AA24,2,FALSE)</f>
        <v>C�te d'Ivoire</v>
      </c>
      <c r="K23" s="41">
        <f>VLOOKUP(2,T21:AA24,3,FALSE)</f>
        <v>1</v>
      </c>
      <c r="L23" s="41">
        <f>VLOOKUP(2,T21:AA24,4,FALSE)</f>
        <v>0</v>
      </c>
      <c r="M23" s="41">
        <f>VLOOKUP(2,T21:AA24,5,FALSE)</f>
        <v>2</v>
      </c>
      <c r="N23" s="41" t="str">
        <f>CONCATENATE(VLOOKUP(2,T21:AA24,6,FALSE)," - ",VLOOKUP(2,T21:AA24,7,FALSE))</f>
        <v>5 - 6</v>
      </c>
      <c r="O23" s="41">
        <f>VLOOKUP(2,T21:AA24,8,FALSE)</f>
        <v>3</v>
      </c>
      <c r="P23" s="47"/>
      <c r="R23" s="85">
        <f>5-(IF(S23&gt;S21,1,0)+IF(S23&gt;S22,1,0)+IF(S23&gt;S23,1,0)+IF(S23&gt;S24,1,0)+1)</f>
        <v>4</v>
      </c>
      <c r="S23" s="85">
        <f>IF(VLOOKUP(U23,J21:P24,7,FALSE)="",GMT_MIN,10-VLOOKUP(U23,J21:P24,7,FALSE))*10+T23</f>
        <v>1</v>
      </c>
      <c r="T23" s="85">
        <f>IF(AB23&gt;AB21,1,0)+IF(AB23&gt;AB22,1,0)+IF(AB23&gt;AB23,1,0)+IF(AB23&gt;AB24,1,0)+1</f>
        <v>1</v>
      </c>
      <c r="U23" s="16" t="str">
        <f>INDEX(T,13,language)</f>
        <v>Serbia &amp; Montenegro</v>
      </c>
      <c r="V23" s="35">
        <f>COUNTIF(AV7:AW54,CONCATENATE(U23,"_win"))</f>
        <v>0</v>
      </c>
      <c r="W23" s="35">
        <f>COUNTIF(AV7:AW54,CONCATENATE(U23,"_draw"))</f>
        <v>0</v>
      </c>
      <c r="X23" s="35">
        <f>COUNTIF(AV7:AW54,CONCATENATE(U23,"_lose"))</f>
        <v>3</v>
      </c>
      <c r="Y23" s="35">
        <f>SUMIF(AR7:AR54,CONCATENATE("=",U23),AS7:AS54)+SUMIF(AN7:AN54,CONCATENATE("=",U23),AO7:AO54)</f>
        <v>2</v>
      </c>
      <c r="Z23" s="35">
        <f>SUMIF(AT7:AT54,CONCATENATE("=",U23),AU7:AU54)+SUMIF(AP7:AP54,CONCATENATE("=",U23),AQ7:AQ54)</f>
        <v>10</v>
      </c>
      <c r="AA23" s="35">
        <f>V23*3+W23</f>
        <v>0</v>
      </c>
      <c r="AB23" s="35">
        <f>0.2+AK23+Y23*1000+(Y23-Z23)*100000+AA23*10000000</f>
        <v>-797999.8</v>
      </c>
      <c r="AC23" s="16">
        <f>IF(COUNTIF(AA21:AA24,CONCATENATE("=",AA23))=1,0,COUNTIF(AA21:AA24,CONCATENATE("=",AA23)))*AA23</f>
        <v>0</v>
      </c>
      <c r="AF23" s="35">
        <f>IF(AA23=AE21,1,0)</f>
        <v>0</v>
      </c>
      <c r="AG23" s="35">
        <f>COUNTIF(AX7:AY54,CONCATENATE(U23,"_win"))</f>
        <v>0</v>
      </c>
      <c r="AH23" s="35">
        <f>SUMIF(BD7:BD54,CONCATENATE("=",U23),BE7:BE54)+SUMIF(AZ7:AZ54,CONCATENATE("=",U23),BA7:BA54)</f>
        <v>0</v>
      </c>
      <c r="AI23" s="35">
        <f>SUMIF(BF7:BF54,CONCATENATE("=",U23),BG7:BG54)+SUMIF(BB7:BB54,CONCATENATE("=",U23),BC7:BC54)</f>
        <v>0</v>
      </c>
      <c r="AJ23" s="16">
        <f>300*AG23+(AH23-AI23)*10+AH23</f>
        <v>0</v>
      </c>
      <c r="AK23" s="16">
        <f>IF(AJ23&gt;0,AJ23,0)</f>
        <v>0</v>
      </c>
      <c r="AM23" s="16">
        <f>VLOOKUP(F23,U7:AF59,12,FALSE)+VLOOKUP(C23,U7:AF59,12,FALSE)</f>
        <v>1</v>
      </c>
      <c r="AN23" s="16" t="str">
        <f t="shared" si="0"/>
        <v>Germany</v>
      </c>
      <c r="AO23" s="16">
        <f t="shared" si="1"/>
        <v>1</v>
      </c>
      <c r="AP23" s="16" t="str">
        <f t="shared" si="2"/>
        <v>Germany</v>
      </c>
      <c r="AQ23" s="16">
        <f t="shared" si="3"/>
        <v>0</v>
      </c>
      <c r="AR23" s="16" t="str">
        <f t="shared" si="4"/>
        <v>Poland</v>
      </c>
      <c r="AS23" s="16">
        <f t="shared" si="5"/>
        <v>0</v>
      </c>
      <c r="AT23" s="16" t="str">
        <f t="shared" si="6"/>
        <v>Poland</v>
      </c>
      <c r="AU23" s="16">
        <f t="shared" si="7"/>
        <v>1</v>
      </c>
      <c r="AV23" s="16" t="str">
        <f t="shared" si="8"/>
        <v>Germany_win</v>
      </c>
      <c r="AW23" s="16" t="str">
        <f t="shared" si="9"/>
        <v>Poland_lose</v>
      </c>
      <c r="AX23" s="16" t="str">
        <f t="shared" si="10"/>
        <v/>
      </c>
      <c r="AY23" s="16" t="str">
        <f t="shared" si="11"/>
        <v/>
      </c>
      <c r="AZ23" s="16" t="str">
        <f t="shared" si="12"/>
        <v/>
      </c>
      <c r="BA23" s="16" t="str">
        <f t="shared" si="13"/>
        <v/>
      </c>
      <c r="BB23" s="16" t="str">
        <f t="shared" si="14"/>
        <v/>
      </c>
      <c r="BC23" s="49" t="str">
        <f t="shared" si="15"/>
        <v/>
      </c>
      <c r="BD23" s="49" t="str">
        <f t="shared" si="16"/>
        <v/>
      </c>
      <c r="BE23" s="49" t="str">
        <f t="shared" si="17"/>
        <v/>
      </c>
      <c r="BF23" s="49" t="str">
        <f t="shared" si="18"/>
        <v/>
      </c>
      <c r="BG23" s="49" t="str">
        <f t="shared" si="19"/>
        <v/>
      </c>
      <c r="BH23" s="49" t="s">
        <v>48</v>
      </c>
      <c r="BI23" s="49">
        <v>5</v>
      </c>
      <c r="BJ23" s="49" t="s">
        <v>49</v>
      </c>
      <c r="BK23" s="49">
        <v>17</v>
      </c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13.5" customHeight="1">
      <c r="A24" s="21" t="str">
        <f>CONCATENATE(15+IF(GMT&gt;10,1,0)," ",INDEX(T,80,language))</f>
        <v>15 Jun</v>
      </c>
      <c r="B24" s="22">
        <f>TIME(13+GMT,GMT_MIN,0)</f>
        <v>0.625</v>
      </c>
      <c r="C24" s="51" t="str">
        <f>U10</f>
        <v>Ecuador</v>
      </c>
      <c r="D24" s="15">
        <v>3</v>
      </c>
      <c r="E24" s="15">
        <v>0</v>
      </c>
      <c r="F24" s="53" t="str">
        <f>U8</f>
        <v>Costa Rica</v>
      </c>
      <c r="J24" s="42" t="str">
        <f>VLOOKUP(1,T21:AA24,2,FALSE)</f>
        <v>Serbia &amp; Montenegro</v>
      </c>
      <c r="K24" s="43">
        <f>VLOOKUP(1,T21:AA24,3,FALSE)</f>
        <v>0</v>
      </c>
      <c r="L24" s="43">
        <f>VLOOKUP(1,T21:AA24,4,FALSE)</f>
        <v>0</v>
      </c>
      <c r="M24" s="43">
        <f>VLOOKUP(1,T21:AA24,5,FALSE)</f>
        <v>3</v>
      </c>
      <c r="N24" s="43" t="str">
        <f>CONCATENATE(VLOOKUP(1,T21:AA24,6,FALSE)," - ",VLOOKUP(1,T21:AA24,7,FALSE))</f>
        <v>2 - 10</v>
      </c>
      <c r="O24" s="43">
        <f>VLOOKUP(1,T21:AA24,8,FALSE)</f>
        <v>0</v>
      </c>
      <c r="P24" s="48"/>
      <c r="R24" s="85">
        <f>5-(IF(S24&gt;S21,1,0)+IF(S24&gt;S22,1,0)+IF(S24&gt;S23,1,0)+IF(S24&gt;S24,1,0)+1)</f>
        <v>2</v>
      </c>
      <c r="S24" s="85">
        <f>IF(VLOOKUP(U24,J21:P24,7,FALSE)="",GMT_MIN,10-VLOOKUP(U24,J21:P24,7,FALSE))*10+T24</f>
        <v>3</v>
      </c>
      <c r="T24" s="85">
        <f>IF(AB24&gt;AB21,1,0)+IF(AB24&gt;AB22,1,0)+IF(AB24&gt;AB23,1,0)+IF(AB24&gt;AB24,1,0)+1</f>
        <v>3</v>
      </c>
      <c r="U24" s="16" t="str">
        <f>INDEX(T,14,language)</f>
        <v>Netherlands</v>
      </c>
      <c r="V24" s="35">
        <f>COUNTIF(AV7:AW54,CONCATENATE(U24,"_win"))</f>
        <v>2</v>
      </c>
      <c r="W24" s="35">
        <f>COUNTIF(AV7:AW54,CONCATENATE(U24,"_draw"))</f>
        <v>1</v>
      </c>
      <c r="X24" s="35">
        <f>COUNTIF(AV7:AW54,CONCATENATE(U24,"_lose"))</f>
        <v>0</v>
      </c>
      <c r="Y24" s="35">
        <f>SUMIF(AR7:AR54,CONCATENATE("=",U24),AS7:AS54)+SUMIF(AN7:AN54,CONCATENATE("=",U24),AO7:AO54)</f>
        <v>3</v>
      </c>
      <c r="Z24" s="35">
        <f>SUMIF(AT7:AT54,CONCATENATE("=",U24),AU7:AU54)+SUMIF(AP7:AP54,CONCATENATE("=",U24),AQ7:AQ54)</f>
        <v>1</v>
      </c>
      <c r="AA24" s="35">
        <f>V24*3+W24</f>
        <v>7</v>
      </c>
      <c r="AB24" s="35">
        <f>0.1+AK24+Y24*1000+(Y24-Z24)*100000+AA24*10000000</f>
        <v>70203000.099999994</v>
      </c>
      <c r="AC24" s="16">
        <f>IF(COUNTIF(AA21:AA24,CONCATENATE("=",AA24))=1,0,COUNTIF(AA21:AA24,CONCATENATE("=",AA24)))*AA24</f>
        <v>14</v>
      </c>
      <c r="AF24" s="35">
        <f>IF(AA24=AE21,1,0)</f>
        <v>1</v>
      </c>
      <c r="AG24" s="35">
        <f>COUNTIF(AX7:AY54,CONCATENATE(U24,"_win"))</f>
        <v>0</v>
      </c>
      <c r="AH24" s="35">
        <f>SUMIF(BD7:BD54,CONCATENATE("=",U24),BE7:BE54)+SUMIF(AZ7:AZ54,CONCATENATE("=",U24),BA7:BA54)</f>
        <v>0</v>
      </c>
      <c r="AI24" s="35">
        <f>SUMIF(BF7:BF54,CONCATENATE("=",U24),BG7:BG54)+SUMIF(BB7:BB54,CONCATENATE("=",U24),BC7:BC54)</f>
        <v>0</v>
      </c>
      <c r="AJ24" s="16">
        <f>300*AG24+(AH24-AI24)*10+AH24</f>
        <v>0</v>
      </c>
      <c r="AK24" s="16">
        <f>IF(AJ24&gt;0,AJ24,0)</f>
        <v>0</v>
      </c>
      <c r="AM24" s="16">
        <f>VLOOKUP(F24,U7:AF59,12,FALSE)+VLOOKUP(C24,U7:AF59,12,FALSE)</f>
        <v>0</v>
      </c>
      <c r="AN24" s="16" t="str">
        <f t="shared" si="0"/>
        <v>Ecuador</v>
      </c>
      <c r="AO24" s="16">
        <f t="shared" si="1"/>
        <v>3</v>
      </c>
      <c r="AP24" s="16" t="str">
        <f t="shared" si="2"/>
        <v>Ecuador</v>
      </c>
      <c r="AQ24" s="16">
        <f t="shared" si="3"/>
        <v>0</v>
      </c>
      <c r="AR24" s="16" t="str">
        <f t="shared" si="4"/>
        <v>Costa Rica</v>
      </c>
      <c r="AS24" s="16">
        <f t="shared" si="5"/>
        <v>0</v>
      </c>
      <c r="AT24" s="16" t="str">
        <f t="shared" si="6"/>
        <v>Costa Rica</v>
      </c>
      <c r="AU24" s="16">
        <f t="shared" si="7"/>
        <v>3</v>
      </c>
      <c r="AV24" s="16" t="str">
        <f t="shared" si="8"/>
        <v>Ecuador_win</v>
      </c>
      <c r="AW24" s="16" t="str">
        <f t="shared" si="9"/>
        <v>Costa Rica_lose</v>
      </c>
      <c r="AX24" s="16" t="str">
        <f t="shared" si="10"/>
        <v/>
      </c>
      <c r="AY24" s="16" t="str">
        <f t="shared" si="11"/>
        <v/>
      </c>
      <c r="AZ24" s="16" t="str">
        <f t="shared" si="12"/>
        <v/>
      </c>
      <c r="BA24" s="16" t="str">
        <f t="shared" si="13"/>
        <v/>
      </c>
      <c r="BB24" s="16" t="str">
        <f t="shared" si="14"/>
        <v/>
      </c>
      <c r="BC24" s="49" t="str">
        <f t="shared" si="15"/>
        <v/>
      </c>
      <c r="BD24" s="49" t="str">
        <f t="shared" si="16"/>
        <v/>
      </c>
      <c r="BE24" s="49" t="str">
        <f t="shared" si="17"/>
        <v/>
      </c>
      <c r="BF24" s="49" t="str">
        <f t="shared" si="18"/>
        <v/>
      </c>
      <c r="BG24" s="49" t="str">
        <f t="shared" si="19"/>
        <v/>
      </c>
      <c r="BH24" s="49" t="s">
        <v>50</v>
      </c>
      <c r="BI24" s="49">
        <v>6</v>
      </c>
      <c r="BJ24" s="49" t="s">
        <v>51</v>
      </c>
      <c r="BK24" s="49">
        <v>18</v>
      </c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13.5" customHeight="1">
      <c r="A25" s="21" t="str">
        <f>CONCATENATE(15+IF(GMT&gt;7,1,0)," ",INDEX(T,80,language))</f>
        <v>15 Jun</v>
      </c>
      <c r="B25" s="22">
        <f>TIME(16+GMT,GMT_MIN,0)</f>
        <v>0.75</v>
      </c>
      <c r="C25" s="51" t="str">
        <f>U14</f>
        <v>England</v>
      </c>
      <c r="D25" s="15">
        <v>2</v>
      </c>
      <c r="E25" s="15">
        <v>0</v>
      </c>
      <c r="F25" s="53" t="str">
        <f>U16</f>
        <v>Trinidad &amp; Tobago</v>
      </c>
      <c r="J25" s="44"/>
      <c r="K25" s="45"/>
      <c r="L25" s="45"/>
      <c r="M25" s="45"/>
      <c r="N25" s="45"/>
      <c r="O25" s="45"/>
      <c r="P25" s="45"/>
      <c r="AC25" s="16">
        <f>MAX(AC21:AC24)</f>
        <v>14</v>
      </c>
      <c r="AM25" s="16">
        <f>VLOOKUP(F25,U7:AF59,12,FALSE)+VLOOKUP(C25,U7:AF59,12,FALSE)</f>
        <v>1</v>
      </c>
      <c r="AN25" s="16" t="str">
        <f t="shared" si="0"/>
        <v>England</v>
      </c>
      <c r="AO25" s="16">
        <f t="shared" si="1"/>
        <v>2</v>
      </c>
      <c r="AP25" s="16" t="str">
        <f t="shared" si="2"/>
        <v>England</v>
      </c>
      <c r="AQ25" s="16">
        <f t="shared" si="3"/>
        <v>0</v>
      </c>
      <c r="AR25" s="16" t="str">
        <f t="shared" si="4"/>
        <v>Trinidad &amp; Tobago</v>
      </c>
      <c r="AS25" s="16">
        <f t="shared" si="5"/>
        <v>0</v>
      </c>
      <c r="AT25" s="16" t="str">
        <f t="shared" si="6"/>
        <v>Trinidad &amp; Tobago</v>
      </c>
      <c r="AU25" s="16">
        <f t="shared" si="7"/>
        <v>2</v>
      </c>
      <c r="AV25" s="16" t="str">
        <f t="shared" si="8"/>
        <v>England_win</v>
      </c>
      <c r="AW25" s="16" t="str">
        <f t="shared" si="9"/>
        <v>Trinidad &amp; Tobago_lose</v>
      </c>
      <c r="AX25" s="16" t="str">
        <f t="shared" si="10"/>
        <v/>
      </c>
      <c r="AY25" s="16" t="str">
        <f t="shared" si="11"/>
        <v/>
      </c>
      <c r="AZ25" s="16" t="str">
        <f t="shared" si="12"/>
        <v/>
      </c>
      <c r="BA25" s="16" t="str">
        <f t="shared" si="13"/>
        <v/>
      </c>
      <c r="BB25" s="16" t="str">
        <f t="shared" si="14"/>
        <v/>
      </c>
      <c r="BC25" s="49" t="str">
        <f t="shared" si="15"/>
        <v/>
      </c>
      <c r="BD25" s="49" t="str">
        <f t="shared" si="16"/>
        <v/>
      </c>
      <c r="BE25" s="49" t="str">
        <f t="shared" si="17"/>
        <v/>
      </c>
      <c r="BF25" s="49" t="str">
        <f t="shared" si="18"/>
        <v/>
      </c>
      <c r="BG25" s="49" t="str">
        <f t="shared" si="19"/>
        <v/>
      </c>
      <c r="BH25" s="49" t="s">
        <v>52</v>
      </c>
      <c r="BI25" s="49">
        <v>7</v>
      </c>
      <c r="BJ25" s="49" t="s">
        <v>53</v>
      </c>
      <c r="BK25" s="49">
        <v>19</v>
      </c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13.5" customHeight="1">
      <c r="A26" s="21" t="str">
        <f>CONCATENATE(15+IF(GMT&gt;4,1,0)," ",INDEX(T,80,language))</f>
        <v>15 Jun</v>
      </c>
      <c r="B26" s="22">
        <f>TIME(19+GMT,GMT_MIN,0)</f>
        <v>0.875</v>
      </c>
      <c r="C26" s="51" t="str">
        <f>U17</f>
        <v>Sweden</v>
      </c>
      <c r="D26" s="15">
        <v>1</v>
      </c>
      <c r="E26" s="15">
        <v>0</v>
      </c>
      <c r="F26" s="53" t="str">
        <f>U15</f>
        <v>Paraguay</v>
      </c>
      <c r="J26" s="70" t="str">
        <f>CONCATENATE(INDEX(T,40,language)," D")</f>
        <v>Group D</v>
      </c>
      <c r="K26" s="72" t="str">
        <f>INDEX(T,35,language)</f>
        <v>W</v>
      </c>
      <c r="L26" s="72" t="str">
        <f>INDEX(T,36,language)</f>
        <v>D</v>
      </c>
      <c r="M26" s="72" t="str">
        <f>INDEX(T,37,language)</f>
        <v>L</v>
      </c>
      <c r="N26" s="72" t="str">
        <f>INDEX(T,38,language)</f>
        <v>F - A</v>
      </c>
      <c r="O26" s="72" t="str">
        <f>INDEX(T,39,language)</f>
        <v>Pnt</v>
      </c>
      <c r="P26" s="1" t="s">
        <v>1</v>
      </c>
      <c r="AM26" s="16">
        <f>VLOOKUP(F26,U7:AF59,12,FALSE)+VLOOKUP(C26,U7:AF59,12,FALSE)</f>
        <v>0</v>
      </c>
      <c r="AN26" s="16" t="str">
        <f t="shared" si="0"/>
        <v>Sweden</v>
      </c>
      <c r="AO26" s="16">
        <f t="shared" si="1"/>
        <v>1</v>
      </c>
      <c r="AP26" s="16" t="str">
        <f t="shared" si="2"/>
        <v>Sweden</v>
      </c>
      <c r="AQ26" s="16">
        <f t="shared" si="3"/>
        <v>0</v>
      </c>
      <c r="AR26" s="16" t="str">
        <f t="shared" si="4"/>
        <v>Paraguay</v>
      </c>
      <c r="AS26" s="16">
        <f t="shared" si="5"/>
        <v>0</v>
      </c>
      <c r="AT26" s="16" t="str">
        <f t="shared" si="6"/>
        <v>Paraguay</v>
      </c>
      <c r="AU26" s="16">
        <f t="shared" si="7"/>
        <v>1</v>
      </c>
      <c r="AV26" s="16" t="str">
        <f t="shared" si="8"/>
        <v>Sweden_win</v>
      </c>
      <c r="AW26" s="16" t="str">
        <f t="shared" si="9"/>
        <v>Paraguay_lose</v>
      </c>
      <c r="AX26" s="16" t="str">
        <f t="shared" si="10"/>
        <v/>
      </c>
      <c r="AY26" s="16" t="str">
        <f t="shared" si="11"/>
        <v/>
      </c>
      <c r="AZ26" s="16" t="str">
        <f t="shared" si="12"/>
        <v/>
      </c>
      <c r="BA26" s="16" t="str">
        <f t="shared" si="13"/>
        <v/>
      </c>
      <c r="BB26" s="16" t="str">
        <f t="shared" si="14"/>
        <v/>
      </c>
      <c r="BC26" s="49" t="str">
        <f t="shared" si="15"/>
        <v/>
      </c>
      <c r="BD26" s="49" t="str">
        <f t="shared" si="16"/>
        <v/>
      </c>
      <c r="BE26" s="49" t="str">
        <f t="shared" si="17"/>
        <v/>
      </c>
      <c r="BF26" s="49" t="str">
        <f t="shared" si="18"/>
        <v/>
      </c>
      <c r="BG26" s="49" t="str">
        <f t="shared" si="19"/>
        <v/>
      </c>
      <c r="BH26" s="49" t="s">
        <v>54</v>
      </c>
      <c r="BI26" s="49">
        <v>8</v>
      </c>
      <c r="BJ26" s="49" t="s">
        <v>55</v>
      </c>
      <c r="BK26" s="49">
        <v>20</v>
      </c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13.5" customHeight="1">
      <c r="A27" s="21" t="str">
        <f>CONCATENATE(16+IF(GMT&gt;10,1,0)," ",INDEX(T,80,language))</f>
        <v>16 Jun</v>
      </c>
      <c r="B27" s="22">
        <f>TIME(13+GMT,GMT_MIN,0)</f>
        <v>0.625</v>
      </c>
      <c r="C27" s="51" t="str">
        <f>U21</f>
        <v>Argentina</v>
      </c>
      <c r="D27" s="15">
        <v>6</v>
      </c>
      <c r="E27" s="15">
        <v>0</v>
      </c>
      <c r="F27" s="53" t="str">
        <f>U23</f>
        <v>Serbia &amp; Montenegro</v>
      </c>
      <c r="J27" s="71"/>
      <c r="K27" s="73"/>
      <c r="L27" s="73"/>
      <c r="M27" s="73"/>
      <c r="N27" s="73"/>
      <c r="O27" s="73"/>
      <c r="P27" s="59"/>
      <c r="AM27" s="16">
        <f>VLOOKUP(F27,U7:AF59,12,FALSE)+VLOOKUP(C27,U7:AF59,12,FALSE)</f>
        <v>1</v>
      </c>
      <c r="AN27" s="16" t="str">
        <f t="shared" si="0"/>
        <v>Argentina</v>
      </c>
      <c r="AO27" s="16">
        <f t="shared" si="1"/>
        <v>6</v>
      </c>
      <c r="AP27" s="16" t="str">
        <f t="shared" si="2"/>
        <v>Argentina</v>
      </c>
      <c r="AQ27" s="16">
        <f t="shared" si="3"/>
        <v>0</v>
      </c>
      <c r="AR27" s="16" t="str">
        <f t="shared" si="4"/>
        <v>Serbia &amp; Montenegro</v>
      </c>
      <c r="AS27" s="16">
        <f t="shared" si="5"/>
        <v>0</v>
      </c>
      <c r="AT27" s="16" t="str">
        <f t="shared" si="6"/>
        <v>Serbia &amp; Montenegro</v>
      </c>
      <c r="AU27" s="16">
        <f t="shared" si="7"/>
        <v>6</v>
      </c>
      <c r="AV27" s="16" t="str">
        <f t="shared" si="8"/>
        <v>Argentina_win</v>
      </c>
      <c r="AW27" s="16" t="str">
        <f t="shared" si="9"/>
        <v>Serbia &amp; Montenegro_lose</v>
      </c>
      <c r="AX27" s="16" t="str">
        <f t="shared" si="10"/>
        <v/>
      </c>
      <c r="AY27" s="16" t="str">
        <f t="shared" si="11"/>
        <v/>
      </c>
      <c r="AZ27" s="16" t="str">
        <f t="shared" si="12"/>
        <v/>
      </c>
      <c r="BA27" s="16" t="str">
        <f t="shared" si="13"/>
        <v/>
      </c>
      <c r="BB27" s="16" t="str">
        <f t="shared" si="14"/>
        <v/>
      </c>
      <c r="BC27" s="49" t="str">
        <f t="shared" si="15"/>
        <v/>
      </c>
      <c r="BD27" s="49" t="str">
        <f t="shared" si="16"/>
        <v/>
      </c>
      <c r="BE27" s="49" t="str">
        <f t="shared" si="17"/>
        <v/>
      </c>
      <c r="BF27" s="49" t="str">
        <f t="shared" si="18"/>
        <v/>
      </c>
      <c r="BG27" s="49" t="str">
        <f t="shared" si="19"/>
        <v/>
      </c>
      <c r="BH27" s="49" t="s">
        <v>56</v>
      </c>
      <c r="BI27" s="49">
        <v>9</v>
      </c>
      <c r="BJ27" s="49" t="s">
        <v>57</v>
      </c>
      <c r="BK27" s="49">
        <v>21</v>
      </c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13.5" customHeight="1">
      <c r="A28" s="21" t="str">
        <f>CONCATENATE(16+IF(GMT&gt;7,1,0)," ",INDEX(T,80,language))</f>
        <v>16 Jun</v>
      </c>
      <c r="B28" s="22">
        <f>TIME(16+GMT,GMT_MIN,0)</f>
        <v>0.75</v>
      </c>
      <c r="C28" s="51" t="str">
        <f>U24</f>
        <v>Netherlands</v>
      </c>
      <c r="D28" s="15">
        <v>2</v>
      </c>
      <c r="E28" s="15">
        <v>1</v>
      </c>
      <c r="F28" s="53" t="str">
        <f>U22</f>
        <v>C�te d'Ivoire</v>
      </c>
      <c r="J28" s="38" t="str">
        <f>VLOOKUP(4,T28:AA31,2,FALSE)</f>
        <v>Portugal</v>
      </c>
      <c r="K28" s="39">
        <f>VLOOKUP(4,T28:AA31,3,FALSE)</f>
        <v>3</v>
      </c>
      <c r="L28" s="39">
        <f>VLOOKUP(4,T28:AA31,4,FALSE)</f>
        <v>0</v>
      </c>
      <c r="M28" s="39">
        <f>VLOOKUP(4,T28:AA31,5,FALSE)</f>
        <v>0</v>
      </c>
      <c r="N28" s="39" t="str">
        <f>CONCATENATE(VLOOKUP(4,T28:AA31,6,FALSE)," - ",VLOOKUP(4,T28:AA31,7,FALSE))</f>
        <v>5 - 1</v>
      </c>
      <c r="O28" s="39">
        <f>VLOOKUP(4,T28:AA31,8,FALSE)</f>
        <v>9</v>
      </c>
      <c r="P28" s="46"/>
      <c r="R28" s="85">
        <f>5-(IF(S28&gt;S28,1,0)+IF(S28&gt;S29,1,0)+IF(S28&gt;S30,1,0)+IF(S28&gt;S31,1,0)+1)</f>
        <v>2</v>
      </c>
      <c r="S28" s="85">
        <f>IF(VLOOKUP(U28,J28:P31,7,FALSE)="",GMT_MIN,10-VLOOKUP(U28,J28:P31,7,FALSE))*10+T28</f>
        <v>3</v>
      </c>
      <c r="T28" s="85">
        <f>IF(AB28&gt;AB28,1,0)+IF(AB28&gt;AB29,1,0)+IF(AB28&gt;AB30,1,0)+IF(AB28&gt;AB31,1,0)+1</f>
        <v>3</v>
      </c>
      <c r="U28" s="16" t="str">
        <f>INDEX(T,15,language)</f>
        <v>Mexico</v>
      </c>
      <c r="V28" s="35">
        <f>COUNTIF(AV7:AW54,CONCATENATE(U28,"_win"))</f>
        <v>1</v>
      </c>
      <c r="W28" s="35">
        <f>COUNTIF(AV7:AW54,CONCATENATE(U28,"_draw"))</f>
        <v>1</v>
      </c>
      <c r="X28" s="35">
        <f>COUNTIF(AV7:AW54,CONCATENATE(U28,"_lose"))</f>
        <v>1</v>
      </c>
      <c r="Y28" s="35">
        <f>SUMIF(AR7:AR54,CONCATENATE("=",U28),AS7:AS54)+SUMIF(AN7:AN54,CONCATENATE("=",U28),AO7:AO54)</f>
        <v>4</v>
      </c>
      <c r="Z28" s="35">
        <f>SUMIF(AT7:AT54,CONCATENATE("=",U28),AU7:AU54)+SUMIF(AP7:AP54,CONCATENATE("=",U28),AQ7:AQ54)</f>
        <v>3</v>
      </c>
      <c r="AA28" s="35">
        <f>V28*3+W28</f>
        <v>4</v>
      </c>
      <c r="AB28" s="35">
        <f>0.4+AK28+Y28*1000+(Y28-Z28)*100000+AA28*10000000</f>
        <v>40104000.399999999</v>
      </c>
      <c r="AC28" s="16">
        <f>IF(COUNTIF(AA28:AA31,CONCATENATE("=",AA28))=1,0,COUNTIF(AA28:AA31,CONCATENATE("=",AA28)))*AA28</f>
        <v>0</v>
      </c>
      <c r="AD28" s="16" t="str">
        <f>IF(SUM(V28:X31)=12,VLOOKUP(1,R28:U31,4,FALSE),INDEX(T,54,language))</f>
        <v>Portugal</v>
      </c>
      <c r="AE28" s="35">
        <f>IF(AC28=AC32,AA28,IF(AC29=AC32,AA29,IF(AC30=AC32,AA30,AA31)))</f>
        <v>4</v>
      </c>
      <c r="AF28" s="35">
        <f>IF(AA28=AE28,1,0)</f>
        <v>1</v>
      </c>
      <c r="AG28" s="35">
        <f>COUNTIF(AX7:AY54,CONCATENATE(U28,"_win"))</f>
        <v>0</v>
      </c>
      <c r="AH28" s="35">
        <f>SUMIF(BD7:BD54,CONCATENATE("=",U28),BE7:BE54)+SUMIF(AZ7:AZ54,CONCATENATE("=",U28),BA7:BA54)</f>
        <v>0</v>
      </c>
      <c r="AI28" s="35">
        <f>SUMIF(BF7:BF54,CONCATENATE("=",U28),BG7:BG54)+SUMIF(BB7:BB54,CONCATENATE("=",U28),BC7:BC54)</f>
        <v>0</v>
      </c>
      <c r="AJ28" s="16">
        <f>300*AG28+(AH28-AI28)*10+AH28</f>
        <v>0</v>
      </c>
      <c r="AK28" s="16">
        <f>IF(AJ28&gt;0,AJ28,0)</f>
        <v>0</v>
      </c>
      <c r="AM28" s="16">
        <f>VLOOKUP(F28,U7:AF59,12,FALSE)+VLOOKUP(C28,U7:AF59,12,FALSE)</f>
        <v>1</v>
      </c>
      <c r="AN28" s="16" t="str">
        <f t="shared" si="0"/>
        <v>Netherlands</v>
      </c>
      <c r="AO28" s="16">
        <f t="shared" si="1"/>
        <v>2</v>
      </c>
      <c r="AP28" s="16" t="str">
        <f t="shared" si="2"/>
        <v>Netherlands</v>
      </c>
      <c r="AQ28" s="16">
        <f t="shared" si="3"/>
        <v>1</v>
      </c>
      <c r="AR28" s="16" t="str">
        <f t="shared" si="4"/>
        <v>C�te d'Ivoire</v>
      </c>
      <c r="AS28" s="16">
        <f t="shared" si="5"/>
        <v>1</v>
      </c>
      <c r="AT28" s="16" t="str">
        <f t="shared" si="6"/>
        <v>C�te d'Ivoire</v>
      </c>
      <c r="AU28" s="16">
        <f t="shared" si="7"/>
        <v>2</v>
      </c>
      <c r="AV28" s="16" t="str">
        <f t="shared" si="8"/>
        <v>Netherlands_win</v>
      </c>
      <c r="AW28" s="16" t="str">
        <f t="shared" si="9"/>
        <v>C�te d'Ivoire_lose</v>
      </c>
      <c r="AX28" s="16" t="str">
        <f t="shared" si="10"/>
        <v/>
      </c>
      <c r="AY28" s="16" t="str">
        <f t="shared" si="11"/>
        <v/>
      </c>
      <c r="AZ28" s="16" t="str">
        <f t="shared" si="12"/>
        <v/>
      </c>
      <c r="BA28" s="16" t="str">
        <f t="shared" si="13"/>
        <v/>
      </c>
      <c r="BB28" s="16" t="str">
        <f t="shared" si="14"/>
        <v/>
      </c>
      <c r="BC28" s="49" t="str">
        <f t="shared" si="15"/>
        <v/>
      </c>
      <c r="BD28" s="49" t="str">
        <f t="shared" si="16"/>
        <v/>
      </c>
      <c r="BE28" s="49" t="str">
        <f t="shared" si="17"/>
        <v/>
      </c>
      <c r="BF28" s="49" t="str">
        <f t="shared" si="18"/>
        <v/>
      </c>
      <c r="BG28" s="49" t="str">
        <f t="shared" si="19"/>
        <v/>
      </c>
      <c r="BH28" s="49" t="s">
        <v>58</v>
      </c>
      <c r="BI28" s="49">
        <v>10</v>
      </c>
      <c r="BJ28" s="49" t="s">
        <v>59</v>
      </c>
      <c r="BK28" s="49">
        <v>22</v>
      </c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3.5" customHeight="1">
      <c r="A29" s="21" t="str">
        <f>CONCATENATE(16+IF(GMT&gt;4,1,0)," ",INDEX(T,80,language))</f>
        <v>16 Jun</v>
      </c>
      <c r="B29" s="22">
        <f>TIME(19+GMT,GMT_MIN,0)</f>
        <v>0.875</v>
      </c>
      <c r="C29" s="51" t="str">
        <f>U28</f>
        <v>Mexico</v>
      </c>
      <c r="D29" s="15">
        <v>0</v>
      </c>
      <c r="E29" s="15">
        <v>0</v>
      </c>
      <c r="F29" s="53" t="str">
        <f>U30</f>
        <v>Angola</v>
      </c>
      <c r="J29" s="40" t="str">
        <f>VLOOKUP(3,T28:AA31,2,FALSE)</f>
        <v>Mexico</v>
      </c>
      <c r="K29" s="41">
        <f>VLOOKUP(3,T28:AA31,3,FALSE)</f>
        <v>1</v>
      </c>
      <c r="L29" s="41">
        <f>VLOOKUP(3,T28:AA31,4,FALSE)</f>
        <v>1</v>
      </c>
      <c r="M29" s="41">
        <f>VLOOKUP(3,T28:AA31,5,FALSE)</f>
        <v>1</v>
      </c>
      <c r="N29" s="41" t="str">
        <f>CONCATENATE(VLOOKUP(3,T28:AA31,6,FALSE)," - ",VLOOKUP(3,T28:AA31,7,FALSE))</f>
        <v>4 - 3</v>
      </c>
      <c r="O29" s="41">
        <f>VLOOKUP(3,T28:AA31,8,FALSE)</f>
        <v>4</v>
      </c>
      <c r="P29" s="47"/>
      <c r="R29" s="85">
        <f>5-(IF(S29&gt;S28,1,0)+IF(S29&gt;S29,1,0)+IF(S29&gt;S30,1,0)+IF(S29&gt;S31,1,0)+1)</f>
        <v>4</v>
      </c>
      <c r="S29" s="85">
        <f>IF(VLOOKUP(U29,J28:P31,7,FALSE)="",GMT_MIN,10-VLOOKUP(U29,J28:P31,7,FALSE))*10+T29</f>
        <v>1</v>
      </c>
      <c r="T29" s="85">
        <f>IF(AB29&gt;AB28,1,0)+IF(AB29&gt;AB29,1,0)+IF(AB29&gt;AB30,1,0)+IF(AB29&gt;AB31,1,0)+1</f>
        <v>1</v>
      </c>
      <c r="U29" s="16" t="str">
        <f>INDEX(T,16,language)</f>
        <v>Iran</v>
      </c>
      <c r="V29" s="35">
        <f>COUNTIF(AV7:AW54,CONCATENATE(U29,"_win"))</f>
        <v>0</v>
      </c>
      <c r="W29" s="35">
        <f>COUNTIF(AV7:AW54,CONCATENATE(U29,"_draw"))</f>
        <v>1</v>
      </c>
      <c r="X29" s="35">
        <f>COUNTIF(AV7:AW54,CONCATENATE(U29,"_lose"))</f>
        <v>2</v>
      </c>
      <c r="Y29" s="35">
        <f>SUMIF(AR7:AR54,CONCATENATE("=",U29),AS7:AS54)+SUMIF(AN7:AN54,CONCATENATE("=",U29),AO7:AO54)</f>
        <v>2</v>
      </c>
      <c r="Z29" s="35">
        <f>SUMIF(AT7:AT54,CONCATENATE("=",U29),AU7:AU54)+SUMIF(AP7:AP54,CONCATENATE("=",U29),AQ7:AQ54)</f>
        <v>6</v>
      </c>
      <c r="AA29" s="35">
        <f>V29*3+W29</f>
        <v>1</v>
      </c>
      <c r="AB29" s="35">
        <f>0.3+AK29+Y29*1000+(Y29-Z29)*100000+AA29*10000000</f>
        <v>9602000.3000000007</v>
      </c>
      <c r="AC29" s="16">
        <f>IF(COUNTIF(AA28:AA31,CONCATENATE("=",AA29))=1,0,COUNTIF(AA28:AA31,CONCATENATE("=",AA29)))*AA29</f>
        <v>0</v>
      </c>
      <c r="AD29" s="16" t="str">
        <f>IF(SUM(V28:X31)=12,VLOOKUP(2,R28:U31,4,FALSE),INDEX(T,55,language))</f>
        <v>Mexico</v>
      </c>
      <c r="AF29" s="35">
        <f>IF(AA29=AE28,1,0)</f>
        <v>0</v>
      </c>
      <c r="AG29" s="35">
        <f>COUNTIF(AX7:AY54,CONCATENATE(U29,"_win"))</f>
        <v>0</v>
      </c>
      <c r="AH29" s="35">
        <f>SUMIF(BD7:BD54,CONCATENATE("=",U29),BE7:BE54)+SUMIF(AZ7:AZ54,CONCATENATE("=",U29),BA7:BA54)</f>
        <v>0</v>
      </c>
      <c r="AI29" s="35">
        <f>SUMIF(BF7:BF54,CONCATENATE("=",U29),BG7:BG54)+SUMIF(BB7:BB54,CONCATENATE("=",U29),BC7:BC54)</f>
        <v>0</v>
      </c>
      <c r="AJ29" s="16">
        <f>300*AG29+(AH29-AI29)*10+AH29</f>
        <v>0</v>
      </c>
      <c r="AK29" s="16">
        <f>IF(AJ29&gt;0,AJ29,0)</f>
        <v>0</v>
      </c>
      <c r="AM29" s="16">
        <f>VLOOKUP(F29,U7:AF59,12,FALSE)+VLOOKUP(C29,U7:AF59,12,FALSE)</f>
        <v>1</v>
      </c>
      <c r="AN29" s="16" t="str">
        <f t="shared" si="0"/>
        <v>Mexico</v>
      </c>
      <c r="AO29" s="16">
        <f t="shared" si="1"/>
        <v>0</v>
      </c>
      <c r="AP29" s="16" t="str">
        <f t="shared" si="2"/>
        <v>Mexico</v>
      </c>
      <c r="AQ29" s="16">
        <f t="shared" si="3"/>
        <v>0</v>
      </c>
      <c r="AR29" s="16" t="str">
        <f t="shared" si="4"/>
        <v>Angola</v>
      </c>
      <c r="AS29" s="16">
        <f t="shared" si="5"/>
        <v>0</v>
      </c>
      <c r="AT29" s="16" t="str">
        <f t="shared" si="6"/>
        <v>Angola</v>
      </c>
      <c r="AU29" s="16">
        <f t="shared" si="7"/>
        <v>0</v>
      </c>
      <c r="AV29" s="16" t="str">
        <f t="shared" si="8"/>
        <v>Mexico_draw</v>
      </c>
      <c r="AW29" s="16" t="str">
        <f t="shared" si="9"/>
        <v>Angola_draw</v>
      </c>
      <c r="AX29" s="16" t="str">
        <f t="shared" si="10"/>
        <v/>
      </c>
      <c r="AY29" s="16" t="str">
        <f t="shared" si="11"/>
        <v/>
      </c>
      <c r="AZ29" s="16" t="str">
        <f t="shared" si="12"/>
        <v/>
      </c>
      <c r="BA29" s="16" t="str">
        <f t="shared" si="13"/>
        <v/>
      </c>
      <c r="BB29" s="16" t="str">
        <f t="shared" si="14"/>
        <v/>
      </c>
      <c r="BC29" s="49" t="str">
        <f t="shared" si="15"/>
        <v/>
      </c>
      <c r="BD29" s="49" t="str">
        <f t="shared" si="16"/>
        <v/>
      </c>
      <c r="BE29" s="49" t="str">
        <f t="shared" si="17"/>
        <v/>
      </c>
      <c r="BF29" s="49" t="str">
        <f t="shared" si="18"/>
        <v/>
      </c>
      <c r="BG29" s="49" t="str">
        <f t="shared" si="19"/>
        <v/>
      </c>
      <c r="BH29" s="49" t="s">
        <v>60</v>
      </c>
      <c r="BI29" s="49">
        <v>11</v>
      </c>
      <c r="BJ29" s="49" t="s">
        <v>61</v>
      </c>
      <c r="BK29" s="49">
        <v>23</v>
      </c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ht="13.5" customHeight="1">
      <c r="A30" s="21" t="str">
        <f>CONCATENATE(17+IF(GMT&gt;10,1,0)," ",INDEX(T,80,language))</f>
        <v>17 Jun</v>
      </c>
      <c r="B30" s="22">
        <f>TIME(13+GMT,GMT_MIN,0)</f>
        <v>0.625</v>
      </c>
      <c r="C30" s="51" t="str">
        <f>U31</f>
        <v>Portugal</v>
      </c>
      <c r="D30" s="15">
        <v>2</v>
      </c>
      <c r="E30" s="15">
        <v>0</v>
      </c>
      <c r="F30" s="53" t="str">
        <f>U29</f>
        <v>Iran</v>
      </c>
      <c r="J30" s="40" t="str">
        <f>VLOOKUP(2,T28:AA31,2,FALSE)</f>
        <v>Angola</v>
      </c>
      <c r="K30" s="41">
        <f>VLOOKUP(2,T28:AA31,3,FALSE)</f>
        <v>0</v>
      </c>
      <c r="L30" s="41">
        <f>VLOOKUP(2,T28:AA31,4,FALSE)</f>
        <v>2</v>
      </c>
      <c r="M30" s="41">
        <f>VLOOKUP(2,T28:AA31,5,FALSE)</f>
        <v>1</v>
      </c>
      <c r="N30" s="41" t="str">
        <f>CONCATENATE(VLOOKUP(2,T28:AA31,6,FALSE)," - ",VLOOKUP(2,T28:AA31,7,FALSE))</f>
        <v>1 - 2</v>
      </c>
      <c r="O30" s="41">
        <f>VLOOKUP(2,T28:AA31,8,FALSE)</f>
        <v>2</v>
      </c>
      <c r="P30" s="47"/>
      <c r="R30" s="85">
        <f>5-(IF(S30&gt;S28,1,0)+IF(S30&gt;S29,1,0)+IF(S30&gt;S30,1,0)+IF(S30&gt;S31,1,0)+1)</f>
        <v>3</v>
      </c>
      <c r="S30" s="85">
        <f>IF(VLOOKUP(U30,J28:P31,7,FALSE)="",GMT_MIN,10-VLOOKUP(U30,J28:P31,7,FALSE))*10+T30</f>
        <v>2</v>
      </c>
      <c r="T30" s="85">
        <f>IF(AB30&gt;AB28,1,0)+IF(AB30&gt;AB29,1,0)+IF(AB30&gt;AB30,1,0)+IF(AB30&gt;AB31,1,0)+1</f>
        <v>2</v>
      </c>
      <c r="U30" s="16" t="str">
        <f>INDEX(T,17,language)</f>
        <v>Angola</v>
      </c>
      <c r="V30" s="35">
        <f>COUNTIF(AV7:AW54,CONCATENATE(U30,"_win"))</f>
        <v>0</v>
      </c>
      <c r="W30" s="35">
        <f>COUNTIF(AV7:AW54,CONCATENATE(U30,"_draw"))</f>
        <v>2</v>
      </c>
      <c r="X30" s="35">
        <f>COUNTIF(AV7:AW54,CONCATENATE(U30,"_lose"))</f>
        <v>1</v>
      </c>
      <c r="Y30" s="35">
        <f>SUMIF(AR7:AR54,CONCATENATE("=",U30),AS7:AS54)+SUMIF(AN7:AN54,CONCATENATE("=",U30),AO7:AO54)</f>
        <v>1</v>
      </c>
      <c r="Z30" s="35">
        <f>SUMIF(AT7:AT54,CONCATENATE("=",U30),AU7:AU54)+SUMIF(AP7:AP54,CONCATENATE("=",U30),AQ7:AQ54)</f>
        <v>2</v>
      </c>
      <c r="AA30" s="35">
        <f>V30*3+W30</f>
        <v>2</v>
      </c>
      <c r="AB30" s="35">
        <f>0.2+AK30+Y30*1000+(Y30-Z30)*100000+AA30*10000000</f>
        <v>19901000.199999999</v>
      </c>
      <c r="AC30" s="16">
        <f>IF(COUNTIF(AA28:AA31,CONCATENATE("=",AA30))=1,0,COUNTIF(AA28:AA31,CONCATENATE("=",AA30)))*AA30</f>
        <v>0</v>
      </c>
      <c r="AF30" s="35">
        <f>IF(AA30=AE28,1,0)</f>
        <v>0</v>
      </c>
      <c r="AG30" s="35">
        <f>COUNTIF(AX7:AY54,CONCATENATE(U30,"_win"))</f>
        <v>0</v>
      </c>
      <c r="AH30" s="35">
        <f>SUMIF(BD7:BD54,CONCATENATE("=",U30),BE7:BE54)+SUMIF(AZ7:AZ54,CONCATENATE("=",U30),BA7:BA54)</f>
        <v>0</v>
      </c>
      <c r="AI30" s="35">
        <f>SUMIF(BF7:BF54,CONCATENATE("=",U30),BG7:BG54)+SUMIF(BB7:BB54,CONCATENATE("=",U30),BC7:BC54)</f>
        <v>0</v>
      </c>
      <c r="AJ30" s="16">
        <f>300*AG30+(AH30-AI30)*10+AH30</f>
        <v>0</v>
      </c>
      <c r="AK30" s="16">
        <f>IF(AJ30&gt;0,AJ30,0)</f>
        <v>0</v>
      </c>
      <c r="AM30" s="16">
        <f>VLOOKUP(F30,U7:AF59,12,FALSE)+VLOOKUP(C30,U7:AF59,12,FALSE)</f>
        <v>0</v>
      </c>
      <c r="AN30" s="16" t="str">
        <f t="shared" si="0"/>
        <v>Portugal</v>
      </c>
      <c r="AO30" s="16">
        <f t="shared" si="1"/>
        <v>2</v>
      </c>
      <c r="AP30" s="16" t="str">
        <f t="shared" si="2"/>
        <v>Portugal</v>
      </c>
      <c r="AQ30" s="16">
        <f t="shared" si="3"/>
        <v>0</v>
      </c>
      <c r="AR30" s="16" t="str">
        <f t="shared" si="4"/>
        <v>Iran</v>
      </c>
      <c r="AS30" s="16">
        <f t="shared" si="5"/>
        <v>0</v>
      </c>
      <c r="AT30" s="16" t="str">
        <f t="shared" si="6"/>
        <v>Iran</v>
      </c>
      <c r="AU30" s="16">
        <f t="shared" si="7"/>
        <v>2</v>
      </c>
      <c r="AV30" s="16" t="str">
        <f t="shared" si="8"/>
        <v>Portugal_win</v>
      </c>
      <c r="AW30" s="16" t="str">
        <f t="shared" si="9"/>
        <v>Iran_lose</v>
      </c>
      <c r="AX30" s="16" t="str">
        <f t="shared" si="10"/>
        <v/>
      </c>
      <c r="AY30" s="16" t="str">
        <f t="shared" si="11"/>
        <v/>
      </c>
      <c r="AZ30" s="16" t="str">
        <f t="shared" si="12"/>
        <v/>
      </c>
      <c r="BA30" s="16" t="str">
        <f t="shared" si="13"/>
        <v/>
      </c>
      <c r="BB30" s="16" t="str">
        <f t="shared" si="14"/>
        <v/>
      </c>
      <c r="BC30" s="49" t="str">
        <f t="shared" si="15"/>
        <v/>
      </c>
      <c r="BD30" s="49" t="str">
        <f t="shared" si="16"/>
        <v/>
      </c>
      <c r="BE30" s="49" t="str">
        <f t="shared" si="17"/>
        <v/>
      </c>
      <c r="BF30" s="49" t="str">
        <f t="shared" si="18"/>
        <v/>
      </c>
      <c r="BG30" s="49" t="str">
        <f t="shared" si="19"/>
        <v/>
      </c>
      <c r="BH30" s="49" t="s">
        <v>62</v>
      </c>
      <c r="BI30" s="49">
        <v>12</v>
      </c>
      <c r="BJ30" s="49" t="s">
        <v>63</v>
      </c>
      <c r="BK30" s="49">
        <v>24</v>
      </c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13.5" customHeight="1">
      <c r="A31" s="21" t="str">
        <f>CONCATENATE(17+IF(GMT&gt;7,1,0)," ",INDEX(T,80,language))</f>
        <v>17 Jun</v>
      </c>
      <c r="B31" s="22">
        <f>TIME(16+GMT,GMT_MIN,0)</f>
        <v>0.75</v>
      </c>
      <c r="C31" s="51" t="str">
        <f>U38</f>
        <v>Czech Republic</v>
      </c>
      <c r="D31" s="15">
        <v>0</v>
      </c>
      <c r="E31" s="15">
        <v>2</v>
      </c>
      <c r="F31" s="53" t="str">
        <f>U36</f>
        <v>Ghana</v>
      </c>
      <c r="J31" s="42" t="str">
        <f>VLOOKUP(1,T28:AA31,2,FALSE)</f>
        <v>Iran</v>
      </c>
      <c r="K31" s="43">
        <f>VLOOKUP(1,T28:AA31,3,FALSE)</f>
        <v>0</v>
      </c>
      <c r="L31" s="43">
        <f>VLOOKUP(1,T28:AA31,4,FALSE)</f>
        <v>1</v>
      </c>
      <c r="M31" s="43">
        <f>VLOOKUP(1,T28:AA31,5,FALSE)</f>
        <v>2</v>
      </c>
      <c r="N31" s="43" t="str">
        <f>CONCATENATE(VLOOKUP(1,T28:AA31,6,FALSE)," - ",VLOOKUP(1,T28:AA31,7,FALSE))</f>
        <v>2 - 6</v>
      </c>
      <c r="O31" s="43">
        <f>VLOOKUP(1,T28:AA31,8,FALSE)</f>
        <v>1</v>
      </c>
      <c r="P31" s="48"/>
      <c r="R31" s="85">
        <f>5-(IF(S31&gt;S28,1,0)+IF(S31&gt;S29,1,0)+IF(S31&gt;S30,1,0)+IF(S31&gt;S31,1,0)+1)</f>
        <v>1</v>
      </c>
      <c r="S31" s="85">
        <f>IF(VLOOKUP(U31,J28:P31,7,FALSE)="",GMT_MIN,10-VLOOKUP(U31,J28:P31,7,FALSE))*10+T31</f>
        <v>4</v>
      </c>
      <c r="T31" s="85">
        <f>IF(AB31&gt;AB28,1,0)+IF(AB31&gt;AB29,1,0)+IF(AB31&gt;AB30,1,0)+IF(AB31&gt;AB31,1,0)+1</f>
        <v>4</v>
      </c>
      <c r="U31" s="16" t="str">
        <f>INDEX(T,18,language)</f>
        <v>Portugal</v>
      </c>
      <c r="V31" s="35">
        <f>COUNTIF(AV7:AW54,CONCATENATE(U31,"_win"))</f>
        <v>3</v>
      </c>
      <c r="W31" s="35">
        <f>COUNTIF(AV7:AW54,CONCATENATE(U31,"_draw"))</f>
        <v>0</v>
      </c>
      <c r="X31" s="35">
        <f>COUNTIF(AV7:AW54,CONCATENATE(U31,"_lose"))</f>
        <v>0</v>
      </c>
      <c r="Y31" s="35">
        <f>SUMIF(AR7:AR54,CONCATENATE("=",U31),AS7:AS54)+SUMIF(AN7:AN54,CONCATENATE("=",U31),AO7:AO54)</f>
        <v>5</v>
      </c>
      <c r="Z31" s="35">
        <f>SUMIF(AT7:AT54,CONCATENATE("=",U31),AU7:AU54)+SUMIF(AP7:AP54,CONCATENATE("=",U31),AQ7:AQ54)</f>
        <v>1</v>
      </c>
      <c r="AA31" s="35">
        <f>V31*3+W31</f>
        <v>9</v>
      </c>
      <c r="AB31" s="35">
        <f>0.1+AK31+Y31*1000+(Y31-Z31)*100000+AA31*10000000</f>
        <v>90405000.099999994</v>
      </c>
      <c r="AC31" s="16">
        <f>IF(COUNTIF(AA28:AA31,CONCATENATE("=",AA31))=1,0,COUNTIF(AA28:AA31,CONCATENATE("=",AA31)))*AA31</f>
        <v>0</v>
      </c>
      <c r="AF31" s="35">
        <f>IF(AA31=AE28,1,0)</f>
        <v>0</v>
      </c>
      <c r="AG31" s="35">
        <f>COUNTIF(AX7:AY54,CONCATENATE(U31,"_win"))</f>
        <v>0</v>
      </c>
      <c r="AH31" s="35">
        <f>SUMIF(BD7:BD54,CONCATENATE("=",U31),BE7:BE54)+SUMIF(AZ7:AZ54,CONCATENATE("=",U31),BA7:BA54)</f>
        <v>0</v>
      </c>
      <c r="AI31" s="35">
        <f>SUMIF(BF7:BF54,CONCATENATE("=",U31),BG7:BG54)+SUMIF(BB7:BB54,CONCATENATE("=",U31),BC7:BC54)</f>
        <v>0</v>
      </c>
      <c r="AJ31" s="16">
        <f>300*AG31+(AH31-AI31)*10+AH31</f>
        <v>0</v>
      </c>
      <c r="AK31" s="16">
        <f>IF(AJ31&gt;0,AJ31,0)</f>
        <v>0</v>
      </c>
      <c r="AM31" s="16">
        <f>VLOOKUP(F31,U7:AF59,12,FALSE)+VLOOKUP(C31,U7:AF59,12,FALSE)</f>
        <v>0</v>
      </c>
      <c r="AN31" s="16" t="str">
        <f t="shared" si="0"/>
        <v>Czech Republic</v>
      </c>
      <c r="AO31" s="16">
        <f t="shared" si="1"/>
        <v>0</v>
      </c>
      <c r="AP31" s="16" t="str">
        <f t="shared" si="2"/>
        <v>Czech Republic</v>
      </c>
      <c r="AQ31" s="16">
        <f t="shared" si="3"/>
        <v>2</v>
      </c>
      <c r="AR31" s="16" t="str">
        <f t="shared" si="4"/>
        <v>Ghana</v>
      </c>
      <c r="AS31" s="16">
        <f t="shared" si="5"/>
        <v>2</v>
      </c>
      <c r="AT31" s="16" t="str">
        <f t="shared" si="6"/>
        <v>Ghana</v>
      </c>
      <c r="AU31" s="16">
        <f t="shared" si="7"/>
        <v>0</v>
      </c>
      <c r="AV31" s="16" t="str">
        <f t="shared" si="8"/>
        <v>Czech Republic_lose</v>
      </c>
      <c r="AW31" s="16" t="str">
        <f t="shared" si="9"/>
        <v>Ghana_win</v>
      </c>
      <c r="AX31" s="16" t="str">
        <f t="shared" si="10"/>
        <v/>
      </c>
      <c r="AY31" s="16" t="str">
        <f t="shared" si="11"/>
        <v/>
      </c>
      <c r="AZ31" s="16" t="str">
        <f t="shared" si="12"/>
        <v/>
      </c>
      <c r="BA31" s="16" t="str">
        <f t="shared" si="13"/>
        <v/>
      </c>
      <c r="BB31" s="16" t="str">
        <f t="shared" si="14"/>
        <v/>
      </c>
      <c r="BC31" s="49" t="str">
        <f t="shared" si="15"/>
        <v/>
      </c>
      <c r="BD31" s="49" t="str">
        <f t="shared" si="16"/>
        <v/>
      </c>
      <c r="BE31" s="49" t="str">
        <f t="shared" si="17"/>
        <v/>
      </c>
      <c r="BF31" s="49" t="str">
        <f t="shared" si="18"/>
        <v/>
      </c>
      <c r="BG31" s="49" t="str">
        <f t="shared" si="19"/>
        <v/>
      </c>
      <c r="BJ31" s="49" t="s">
        <v>64</v>
      </c>
      <c r="BK31" s="49">
        <v>25</v>
      </c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ht="13.5" customHeight="1">
      <c r="A32" s="21" t="str">
        <f>CONCATENATE(17+IF(GMT&gt;4,1,0)," ",INDEX(T,80,language))</f>
        <v>17 Jun</v>
      </c>
      <c r="B32" s="22">
        <f>TIME(19+GMT,GMT_MIN,0)</f>
        <v>0.875</v>
      </c>
      <c r="C32" s="51" t="str">
        <f>U35</f>
        <v>Italy</v>
      </c>
      <c r="D32" s="15">
        <v>1</v>
      </c>
      <c r="E32" s="15">
        <v>1</v>
      </c>
      <c r="F32" s="53" t="str">
        <f>U37</f>
        <v>USA</v>
      </c>
      <c r="J32" s="44"/>
      <c r="K32" s="45"/>
      <c r="L32" s="45"/>
      <c r="M32" s="45"/>
      <c r="N32" s="45"/>
      <c r="O32" s="45"/>
      <c r="P32" s="45"/>
      <c r="AC32" s="16">
        <f>MAX(AC28:AC31)</f>
        <v>0</v>
      </c>
      <c r="AM32" s="16">
        <f>VLOOKUP(F32,U7:AF59,12,FALSE)+VLOOKUP(C32,U7:AF59,12,FALSE)</f>
        <v>1</v>
      </c>
      <c r="AN32" s="16" t="str">
        <f t="shared" si="0"/>
        <v>Italy</v>
      </c>
      <c r="AO32" s="16">
        <f t="shared" si="1"/>
        <v>1</v>
      </c>
      <c r="AP32" s="16" t="str">
        <f t="shared" si="2"/>
        <v>Italy</v>
      </c>
      <c r="AQ32" s="16">
        <f t="shared" si="3"/>
        <v>1</v>
      </c>
      <c r="AR32" s="16" t="str">
        <f t="shared" si="4"/>
        <v>USA</v>
      </c>
      <c r="AS32" s="16">
        <f t="shared" si="5"/>
        <v>1</v>
      </c>
      <c r="AT32" s="16" t="str">
        <f t="shared" si="6"/>
        <v>USA</v>
      </c>
      <c r="AU32" s="16">
        <f t="shared" si="7"/>
        <v>1</v>
      </c>
      <c r="AV32" s="16" t="str">
        <f t="shared" si="8"/>
        <v>Italy_draw</v>
      </c>
      <c r="AW32" s="16" t="str">
        <f t="shared" si="9"/>
        <v>USA_draw</v>
      </c>
      <c r="AX32" s="16" t="str">
        <f t="shared" si="10"/>
        <v/>
      </c>
      <c r="AY32" s="16" t="str">
        <f t="shared" si="11"/>
        <v/>
      </c>
      <c r="AZ32" s="16" t="str">
        <f t="shared" si="12"/>
        <v/>
      </c>
      <c r="BA32" s="16" t="str">
        <f t="shared" si="13"/>
        <v/>
      </c>
      <c r="BB32" s="16" t="str">
        <f t="shared" si="14"/>
        <v/>
      </c>
      <c r="BC32" s="49" t="str">
        <f t="shared" si="15"/>
        <v/>
      </c>
      <c r="BD32" s="49" t="str">
        <f t="shared" si="16"/>
        <v/>
      </c>
      <c r="BE32" s="49" t="str">
        <f t="shared" si="17"/>
        <v/>
      </c>
      <c r="BF32" s="49" t="str">
        <f t="shared" si="18"/>
        <v/>
      </c>
      <c r="BG32" s="49" t="str">
        <f t="shared" si="19"/>
        <v/>
      </c>
      <c r="BJ32" s="49" t="s">
        <v>65</v>
      </c>
      <c r="BK32" s="49">
        <v>26</v>
      </c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</row>
    <row r="33" spans="1:108" ht="13.5" customHeight="1">
      <c r="A33" s="21" t="str">
        <f>CONCATENATE(18+IF(GMT&gt;10,1,0)," ",INDEX(T,80,language))</f>
        <v>18 Jun</v>
      </c>
      <c r="B33" s="22">
        <f>TIME(13+GMT,GMT_MIN,0)</f>
        <v>0.625</v>
      </c>
      <c r="C33" s="51" t="str">
        <f>U45</f>
        <v>Japan</v>
      </c>
      <c r="D33" s="15">
        <v>0</v>
      </c>
      <c r="E33" s="15">
        <v>0</v>
      </c>
      <c r="F33" s="53" t="str">
        <f>U43</f>
        <v>Croatia</v>
      </c>
      <c r="J33" s="74" t="str">
        <f>CONCATENATE(INDEX(T,40,language)," E")</f>
        <v>Group E</v>
      </c>
      <c r="K33" s="76" t="str">
        <f>INDEX(T,35,language)</f>
        <v>W</v>
      </c>
      <c r="L33" s="76" t="str">
        <f>INDEX(T,36,language)</f>
        <v>D</v>
      </c>
      <c r="M33" s="76" t="str">
        <f>INDEX(T,37,language)</f>
        <v>L</v>
      </c>
      <c r="N33" s="76" t="str">
        <f>INDEX(T,38,language)</f>
        <v>F - A</v>
      </c>
      <c r="O33" s="76" t="str">
        <f>INDEX(T,39,language)</f>
        <v>Pnt</v>
      </c>
      <c r="P33" s="60" t="s">
        <v>1</v>
      </c>
      <c r="AM33" s="16">
        <f>VLOOKUP(F33,U7:AF59,12,FALSE)+VLOOKUP(C33,U7:AF59,12,FALSE)</f>
        <v>0</v>
      </c>
      <c r="AN33" s="16" t="str">
        <f t="shared" si="0"/>
        <v>Japan</v>
      </c>
      <c r="AO33" s="16">
        <f t="shared" si="1"/>
        <v>0</v>
      </c>
      <c r="AP33" s="16" t="str">
        <f t="shared" si="2"/>
        <v>Japan</v>
      </c>
      <c r="AQ33" s="16">
        <f t="shared" si="3"/>
        <v>0</v>
      </c>
      <c r="AR33" s="16" t="str">
        <f t="shared" si="4"/>
        <v>Croatia</v>
      </c>
      <c r="AS33" s="16">
        <f t="shared" si="5"/>
        <v>0</v>
      </c>
      <c r="AT33" s="16" t="str">
        <f t="shared" si="6"/>
        <v>Croatia</v>
      </c>
      <c r="AU33" s="16">
        <f t="shared" si="7"/>
        <v>0</v>
      </c>
      <c r="AV33" s="16" t="str">
        <f t="shared" si="8"/>
        <v>Japan_draw</v>
      </c>
      <c r="AW33" s="16" t="str">
        <f t="shared" si="9"/>
        <v>Croatia_draw</v>
      </c>
      <c r="AX33" s="16" t="str">
        <f t="shared" si="10"/>
        <v/>
      </c>
      <c r="AY33" s="16" t="str">
        <f t="shared" si="11"/>
        <v/>
      </c>
      <c r="AZ33" s="16" t="str">
        <f t="shared" si="12"/>
        <v/>
      </c>
      <c r="BA33" s="16" t="str">
        <f t="shared" si="13"/>
        <v/>
      </c>
      <c r="BB33" s="16" t="str">
        <f t="shared" si="14"/>
        <v/>
      </c>
      <c r="BC33" s="49" t="str">
        <f t="shared" si="15"/>
        <v/>
      </c>
      <c r="BD33" s="49" t="str">
        <f t="shared" si="16"/>
        <v/>
      </c>
      <c r="BE33" s="49" t="str">
        <f t="shared" si="17"/>
        <v/>
      </c>
      <c r="BF33" s="49" t="str">
        <f t="shared" si="18"/>
        <v/>
      </c>
      <c r="BG33" s="49" t="str">
        <f t="shared" si="19"/>
        <v/>
      </c>
      <c r="BJ33" s="49" t="s">
        <v>66</v>
      </c>
      <c r="BK33" s="49">
        <v>27</v>
      </c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3.5" customHeight="1">
      <c r="A34" s="21" t="str">
        <f>CONCATENATE(18+IF(GMT&gt;7,1,0)," ",INDEX(T,80,language))</f>
        <v>18 Jun</v>
      </c>
      <c r="B34" s="22">
        <f>TIME(16+GMT,GMT_MIN,0)</f>
        <v>0.75</v>
      </c>
      <c r="C34" s="51" t="str">
        <f>U42</f>
        <v>Brazil</v>
      </c>
      <c r="D34" s="15">
        <v>2</v>
      </c>
      <c r="E34" s="15">
        <v>0</v>
      </c>
      <c r="F34" s="53" t="str">
        <f>U44</f>
        <v>Australia</v>
      </c>
      <c r="J34" s="75"/>
      <c r="K34" s="77"/>
      <c r="L34" s="77"/>
      <c r="M34" s="77"/>
      <c r="N34" s="77"/>
      <c r="O34" s="77"/>
      <c r="P34" s="61"/>
      <c r="AM34" s="16">
        <f>VLOOKUP(F34,U7:AF59,12,FALSE)+VLOOKUP(C34,U7:AF59,12,FALSE)</f>
        <v>1</v>
      </c>
      <c r="AN34" s="16" t="str">
        <f t="shared" si="0"/>
        <v>Brazil</v>
      </c>
      <c r="AO34" s="16">
        <f t="shared" si="1"/>
        <v>2</v>
      </c>
      <c r="AP34" s="16" t="str">
        <f t="shared" si="2"/>
        <v>Brazil</v>
      </c>
      <c r="AQ34" s="16">
        <f t="shared" si="3"/>
        <v>0</v>
      </c>
      <c r="AR34" s="16" t="str">
        <f t="shared" si="4"/>
        <v>Australia</v>
      </c>
      <c r="AS34" s="16">
        <f t="shared" si="5"/>
        <v>0</v>
      </c>
      <c r="AT34" s="16" t="str">
        <f t="shared" si="6"/>
        <v>Australia</v>
      </c>
      <c r="AU34" s="16">
        <f t="shared" si="7"/>
        <v>2</v>
      </c>
      <c r="AV34" s="16" t="str">
        <f t="shared" si="8"/>
        <v>Brazil_win</v>
      </c>
      <c r="AW34" s="16" t="str">
        <f t="shared" si="9"/>
        <v>Australia_lose</v>
      </c>
      <c r="AX34" s="16" t="str">
        <f t="shared" si="10"/>
        <v/>
      </c>
      <c r="AY34" s="16" t="str">
        <f t="shared" si="11"/>
        <v/>
      </c>
      <c r="AZ34" s="16" t="str">
        <f t="shared" si="12"/>
        <v/>
      </c>
      <c r="BA34" s="16" t="str">
        <f t="shared" si="13"/>
        <v/>
      </c>
      <c r="BB34" s="16" t="str">
        <f t="shared" si="14"/>
        <v/>
      </c>
      <c r="BC34" s="49" t="str">
        <f t="shared" si="15"/>
        <v/>
      </c>
      <c r="BD34" s="49" t="str">
        <f t="shared" si="16"/>
        <v/>
      </c>
      <c r="BE34" s="49" t="str">
        <f t="shared" si="17"/>
        <v/>
      </c>
      <c r="BF34" s="49" t="str">
        <f t="shared" si="18"/>
        <v/>
      </c>
      <c r="BG34" s="49" t="str">
        <f t="shared" si="19"/>
        <v/>
      </c>
      <c r="BJ34" s="49" t="s">
        <v>67</v>
      </c>
      <c r="BK34" s="49">
        <v>28</v>
      </c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13.5" customHeight="1">
      <c r="A35" s="21" t="str">
        <f>CONCATENATE(18+IF(GMT&gt;4,1,0)," ",INDEX(T,80,language))</f>
        <v>18 Jun</v>
      </c>
      <c r="B35" s="22">
        <f>TIME(19+GMT,GMT_MIN,0)</f>
        <v>0.875</v>
      </c>
      <c r="C35" s="51" t="str">
        <f>U49</f>
        <v>France</v>
      </c>
      <c r="D35" s="15">
        <v>1</v>
      </c>
      <c r="E35" s="15">
        <v>1</v>
      </c>
      <c r="F35" s="53" t="str">
        <f>U51</f>
        <v>South Korea</v>
      </c>
      <c r="J35" s="38" t="str">
        <f>VLOOKUP(4,T35:AA38,2,FALSE)</f>
        <v>Italy</v>
      </c>
      <c r="K35" s="39">
        <f>VLOOKUP(4,T35:AA38,3,FALSE)</f>
        <v>2</v>
      </c>
      <c r="L35" s="39">
        <f>VLOOKUP(4,T35:AA38,4,FALSE)</f>
        <v>1</v>
      </c>
      <c r="M35" s="39">
        <f>VLOOKUP(4,T35:AA38,5,FALSE)</f>
        <v>0</v>
      </c>
      <c r="N35" s="39" t="str">
        <f>CONCATENATE(VLOOKUP(4,T35:AA38,6,FALSE)," - ",VLOOKUP(4,T35:AA38,7,FALSE))</f>
        <v>5 - 1</v>
      </c>
      <c r="O35" s="39">
        <f>VLOOKUP(4,T35:AA38,8,FALSE)</f>
        <v>7</v>
      </c>
      <c r="P35" s="46"/>
      <c r="R35" s="85">
        <f>5-(IF(S35&gt;S35,1,0)+IF(S35&gt;S36,1,0)+IF(S35&gt;S37,1,0)+IF(S35&gt;S38,1,0)+1)</f>
        <v>1</v>
      </c>
      <c r="S35" s="85">
        <f>IF(VLOOKUP(U35,J35:P38,7,FALSE)="",GMT_MIN,10-VLOOKUP(U35,J35:P38,7,FALSE))*10+T35</f>
        <v>4</v>
      </c>
      <c r="T35" s="85">
        <f>IF(AB35&gt;AB35,1,0)+IF(AB35&gt;AB36,1,0)+IF(AB35&gt;AB37,1,0)+IF(AB35&gt;AB38,1,0)+1</f>
        <v>4</v>
      </c>
      <c r="U35" s="16" t="str">
        <f>INDEX(T,19,language)</f>
        <v>Italy</v>
      </c>
      <c r="V35" s="35">
        <f>COUNTIF(AV7:AW54,CONCATENATE(U35,"_win"))</f>
        <v>2</v>
      </c>
      <c r="W35" s="35">
        <f>COUNTIF(AV7:AW54,CONCATENATE(U35,"_draw"))</f>
        <v>1</v>
      </c>
      <c r="X35" s="35">
        <f>COUNTIF(AV7:AW54,CONCATENATE(U35,"_lose"))</f>
        <v>0</v>
      </c>
      <c r="Y35" s="35">
        <f>SUMIF(AR7:AR54,CONCATENATE("=",U35),AS7:AS54)+SUMIF(AN7:AN54,CONCATENATE("=",U35),AO7:AO54)</f>
        <v>5</v>
      </c>
      <c r="Z35" s="35">
        <f>SUMIF(AT7:AT54,CONCATENATE("=",U35),AU7:AU54)+SUMIF(AP7:AP54,CONCATENATE("=",U35),AQ7:AQ54)</f>
        <v>1</v>
      </c>
      <c r="AA35" s="35">
        <f>V35*3+W35</f>
        <v>7</v>
      </c>
      <c r="AB35" s="35">
        <f>0.4+AK35+Y35*1000+(Y35-Z35)*100000+AA35*10000000</f>
        <v>70405000.400000006</v>
      </c>
      <c r="AC35" s="16">
        <f>IF(COUNTIF(AA35:AA38,CONCATENATE("=",AA35))=1,0,COUNTIF(AA35:AA38,CONCATENATE("=",AA35)))*AA35</f>
        <v>0</v>
      </c>
      <c r="AD35" s="16" t="str">
        <f>IF(SUM(V35:X38)=12,VLOOKUP(1,R35:U38,4,FALSE),INDEX(T,56,language))</f>
        <v>Italy</v>
      </c>
      <c r="AE35" s="35">
        <f>IF(AC35=AC39,AA35,IF(AC36=AC39,AA36,IF(AC37=AC39,AA37,AA38)))</f>
        <v>7</v>
      </c>
      <c r="AF35" s="35">
        <f>IF(AA35=AE35,1,0)</f>
        <v>1</v>
      </c>
      <c r="AG35" s="35">
        <f>COUNTIF(AX7:AY54,CONCATENATE(U35,"_win"))</f>
        <v>0</v>
      </c>
      <c r="AH35" s="35">
        <f>SUMIF(BD7:BD54,CONCATENATE("=",U35),BE7:BE54)+SUMIF(AZ7:AZ54,CONCATENATE("=",U35),BA7:BA54)</f>
        <v>0</v>
      </c>
      <c r="AI35" s="35">
        <f>SUMIF(BF7:BF54,CONCATENATE("=",U35),BG7:BG54)+SUMIF(BB7:BB54,CONCATENATE("=",U35),BC7:BC54)</f>
        <v>0</v>
      </c>
      <c r="AJ35" s="16">
        <f>300*AG35+(AH35-AI35)*10+AH35</f>
        <v>0</v>
      </c>
      <c r="AK35" s="16">
        <f>IF(AJ35&gt;0,AJ35,0)</f>
        <v>0</v>
      </c>
      <c r="AM35" s="16">
        <f>VLOOKUP(F35,U7:AF59,12,FALSE)+VLOOKUP(C35,U7:AF59,12,FALSE)</f>
        <v>1</v>
      </c>
      <c r="AN35" s="16" t="str">
        <f t="shared" si="0"/>
        <v>France</v>
      </c>
      <c r="AO35" s="16">
        <f t="shared" si="1"/>
        <v>1</v>
      </c>
      <c r="AP35" s="16" t="str">
        <f t="shared" si="2"/>
        <v>France</v>
      </c>
      <c r="AQ35" s="16">
        <f t="shared" si="3"/>
        <v>1</v>
      </c>
      <c r="AR35" s="16" t="str">
        <f t="shared" si="4"/>
        <v>South Korea</v>
      </c>
      <c r="AS35" s="16">
        <f t="shared" si="5"/>
        <v>1</v>
      </c>
      <c r="AT35" s="16" t="str">
        <f t="shared" si="6"/>
        <v>South Korea</v>
      </c>
      <c r="AU35" s="16">
        <f t="shared" si="7"/>
        <v>1</v>
      </c>
      <c r="AV35" s="16" t="str">
        <f t="shared" si="8"/>
        <v>France_draw</v>
      </c>
      <c r="AW35" s="16" t="str">
        <f t="shared" si="9"/>
        <v>South Korea_draw</v>
      </c>
      <c r="AX35" s="16" t="str">
        <f t="shared" si="10"/>
        <v/>
      </c>
      <c r="AY35" s="16" t="str">
        <f t="shared" si="11"/>
        <v/>
      </c>
      <c r="AZ35" s="16" t="str">
        <f t="shared" si="12"/>
        <v/>
      </c>
      <c r="BA35" s="16" t="str">
        <f t="shared" si="13"/>
        <v/>
      </c>
      <c r="BB35" s="16" t="str">
        <f t="shared" si="14"/>
        <v/>
      </c>
      <c r="BC35" s="49" t="str">
        <f t="shared" si="15"/>
        <v/>
      </c>
      <c r="BD35" s="49" t="str">
        <f t="shared" si="16"/>
        <v/>
      </c>
      <c r="BE35" s="49" t="str">
        <f t="shared" si="17"/>
        <v/>
      </c>
      <c r="BF35" s="49" t="str">
        <f t="shared" si="18"/>
        <v/>
      </c>
      <c r="BG35" s="49" t="str">
        <f t="shared" si="19"/>
        <v/>
      </c>
      <c r="BJ35" s="49" t="s">
        <v>68</v>
      </c>
      <c r="BK35" s="49">
        <v>29</v>
      </c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13.5" customHeight="1">
      <c r="A36" s="21" t="str">
        <f>CONCATENATE(19+IF(GMT&gt;10,1,0)," ",INDEX(T,80,language))</f>
        <v>19 Jun</v>
      </c>
      <c r="B36" s="22">
        <f>TIME(13+GMT,GMT_MIN,0)</f>
        <v>0.625</v>
      </c>
      <c r="C36" s="51" t="str">
        <f>U52</f>
        <v>Togo</v>
      </c>
      <c r="D36" s="15">
        <v>0</v>
      </c>
      <c r="E36" s="15">
        <v>2</v>
      </c>
      <c r="F36" s="53" t="str">
        <f>U50</f>
        <v>Switzerland</v>
      </c>
      <c r="J36" s="40" t="str">
        <f>VLOOKUP(3,T35:AA38,2,FALSE)</f>
        <v>Ghana</v>
      </c>
      <c r="K36" s="41">
        <f>VLOOKUP(3,T35:AA38,3,FALSE)</f>
        <v>2</v>
      </c>
      <c r="L36" s="41">
        <f>VLOOKUP(3,T35:AA38,4,FALSE)</f>
        <v>0</v>
      </c>
      <c r="M36" s="41">
        <f>VLOOKUP(3,T35:AA38,5,FALSE)</f>
        <v>1</v>
      </c>
      <c r="N36" s="41" t="str">
        <f>CONCATENATE(VLOOKUP(3,T35:AA38,6,FALSE)," - ",VLOOKUP(3,T35:AA38,7,FALSE))</f>
        <v>4 - 3</v>
      </c>
      <c r="O36" s="41">
        <f>VLOOKUP(3,T35:AA38,8,FALSE)</f>
        <v>6</v>
      </c>
      <c r="P36" s="47"/>
      <c r="R36" s="85">
        <f>5-(IF(S36&gt;S35,1,0)+IF(S36&gt;S36,1,0)+IF(S36&gt;S37,1,0)+IF(S36&gt;S38,1,0)+1)</f>
        <v>2</v>
      </c>
      <c r="S36" s="85">
        <f>IF(VLOOKUP(U36,J35:P38,7,FALSE)="",GMT_MIN,10-VLOOKUP(U36,J35:P38,7,FALSE))*10+T36</f>
        <v>3</v>
      </c>
      <c r="T36" s="85">
        <f>IF(AB36&gt;AB35,1,0)+IF(AB36&gt;AB36,1,0)+IF(AB36&gt;AB37,1,0)+IF(AB36&gt;AB38,1,0)+1</f>
        <v>3</v>
      </c>
      <c r="U36" s="16" t="str">
        <f>INDEX(T,20,language)</f>
        <v>Ghana</v>
      </c>
      <c r="V36" s="35">
        <f>COUNTIF(AV7:AW54,CONCATENATE(U36,"_win"))</f>
        <v>2</v>
      </c>
      <c r="W36" s="35">
        <f>COUNTIF(AV7:AW54,CONCATENATE(U36,"_draw"))</f>
        <v>0</v>
      </c>
      <c r="X36" s="35">
        <f>COUNTIF(AV7:AW54,CONCATENATE(U36,"_lose"))</f>
        <v>1</v>
      </c>
      <c r="Y36" s="35">
        <f>SUMIF(AR7:AR54,CONCATENATE("=",U36),AS7:AS54)+SUMIF(AN7:AN54,CONCATENATE("=",U36),AO7:AO54)</f>
        <v>4</v>
      </c>
      <c r="Z36" s="35">
        <f>SUMIF(AT7:AT54,CONCATENATE("=",U36),AU7:AU54)+SUMIF(AP7:AP54,CONCATENATE("=",U36),AQ7:AQ54)</f>
        <v>3</v>
      </c>
      <c r="AA36" s="35">
        <f>V36*3+W36</f>
        <v>6</v>
      </c>
      <c r="AB36" s="35">
        <f>0.3+AK36+Y36*1000+(Y36-Z36)*100000+AA36*10000000</f>
        <v>60104000.299999997</v>
      </c>
      <c r="AC36" s="16">
        <f>IF(COUNTIF(AA35:AA38,CONCATENATE("=",AA36))=1,0,COUNTIF(AA35:AA38,CONCATENATE("=",AA36)))*AA36</f>
        <v>0</v>
      </c>
      <c r="AD36" s="16" t="str">
        <f>IF(SUM(V35:X38)=12,VLOOKUP(2,R35:U38,4,FALSE),INDEX(T,57,language))</f>
        <v>Ghana</v>
      </c>
      <c r="AF36" s="35">
        <f>IF(AA36=AE35,1,0)</f>
        <v>0</v>
      </c>
      <c r="AG36" s="35">
        <f>COUNTIF(AX7:AY54,CONCATENATE(U36,"_win"))</f>
        <v>0</v>
      </c>
      <c r="AH36" s="35">
        <f>SUMIF(BD7:BD54,CONCATENATE("=",U36),BE7:BE54)+SUMIF(AZ7:AZ54,CONCATENATE("=",U36),BA7:BA54)</f>
        <v>0</v>
      </c>
      <c r="AI36" s="35">
        <f>SUMIF(BF7:BF54,CONCATENATE("=",U36),BG7:BG54)+SUMIF(BB7:BB54,CONCATENATE("=",U36),BC7:BC54)</f>
        <v>0</v>
      </c>
      <c r="AJ36" s="16">
        <f>300*AG36+(AH36-AI36)*10+AH36</f>
        <v>0</v>
      </c>
      <c r="AK36" s="16">
        <f>IF(AJ36&gt;0,AJ36,0)</f>
        <v>0</v>
      </c>
      <c r="AM36" s="16">
        <f>VLOOKUP(F36,U7:AF59,12,FALSE)+VLOOKUP(C36,U7:AF59,12,FALSE)</f>
        <v>0</v>
      </c>
      <c r="AN36" s="16" t="str">
        <f t="shared" si="0"/>
        <v>Togo</v>
      </c>
      <c r="AO36" s="16">
        <f t="shared" si="1"/>
        <v>0</v>
      </c>
      <c r="AP36" s="16" t="str">
        <f t="shared" si="2"/>
        <v>Togo</v>
      </c>
      <c r="AQ36" s="16">
        <f t="shared" si="3"/>
        <v>2</v>
      </c>
      <c r="AR36" s="16" t="str">
        <f t="shared" si="4"/>
        <v>Switzerland</v>
      </c>
      <c r="AS36" s="16">
        <f t="shared" si="5"/>
        <v>2</v>
      </c>
      <c r="AT36" s="16" t="str">
        <f t="shared" si="6"/>
        <v>Switzerland</v>
      </c>
      <c r="AU36" s="16">
        <f t="shared" si="7"/>
        <v>0</v>
      </c>
      <c r="AV36" s="16" t="str">
        <f t="shared" si="8"/>
        <v>Togo_lose</v>
      </c>
      <c r="AW36" s="16" t="str">
        <f t="shared" si="9"/>
        <v>Switzerland_win</v>
      </c>
      <c r="AX36" s="16" t="str">
        <f t="shared" si="10"/>
        <v/>
      </c>
      <c r="AY36" s="16" t="str">
        <f t="shared" si="11"/>
        <v/>
      </c>
      <c r="AZ36" s="16" t="str">
        <f t="shared" si="12"/>
        <v/>
      </c>
      <c r="BA36" s="16" t="str">
        <f t="shared" si="13"/>
        <v/>
      </c>
      <c r="BB36" s="16" t="str">
        <f t="shared" si="14"/>
        <v/>
      </c>
      <c r="BC36" s="49" t="str">
        <f t="shared" si="15"/>
        <v/>
      </c>
      <c r="BD36" s="49" t="str">
        <f t="shared" si="16"/>
        <v/>
      </c>
      <c r="BE36" s="49" t="str">
        <f t="shared" si="17"/>
        <v/>
      </c>
      <c r="BF36" s="49" t="str">
        <f t="shared" si="18"/>
        <v/>
      </c>
      <c r="BG36" s="49" t="str">
        <f t="shared" si="19"/>
        <v/>
      </c>
      <c r="BJ36" s="49" t="s">
        <v>69</v>
      </c>
      <c r="BK36" s="49">
        <v>30</v>
      </c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13.5" customHeight="1">
      <c r="A37" s="21" t="str">
        <f>CONCATENATE(19+IF(GMT&gt;7,1,0)," ",INDEX(T,80,language))</f>
        <v>19 Jun</v>
      </c>
      <c r="B37" s="22">
        <f>TIME(16+GMT,GMT_MIN,0)</f>
        <v>0.75</v>
      </c>
      <c r="C37" s="51" t="str">
        <f>U59</f>
        <v>Saudi Arabia</v>
      </c>
      <c r="D37" s="15">
        <v>0</v>
      </c>
      <c r="E37" s="15">
        <v>4</v>
      </c>
      <c r="F37" s="53" t="str">
        <f>U57</f>
        <v>Ukraine</v>
      </c>
      <c r="J37" s="40" t="str">
        <f>VLOOKUP(2,T35:AA38,2,FALSE)</f>
        <v>Czech Republic</v>
      </c>
      <c r="K37" s="41">
        <f>VLOOKUP(2,T35:AA38,3,FALSE)</f>
        <v>1</v>
      </c>
      <c r="L37" s="41">
        <f>VLOOKUP(2,T35:AA38,4,FALSE)</f>
        <v>0</v>
      </c>
      <c r="M37" s="41">
        <f>VLOOKUP(2,T35:AA38,5,FALSE)</f>
        <v>2</v>
      </c>
      <c r="N37" s="41" t="str">
        <f>CONCATENATE(VLOOKUP(2,T35:AA38,6,FALSE)," - ",VLOOKUP(2,T35:AA38,7,FALSE))</f>
        <v>3 - 4</v>
      </c>
      <c r="O37" s="41">
        <f>VLOOKUP(2,T35:AA38,8,FALSE)</f>
        <v>3</v>
      </c>
      <c r="P37" s="47"/>
      <c r="R37" s="85">
        <f>5-(IF(S37&gt;S35,1,0)+IF(S37&gt;S36,1,0)+IF(S37&gt;S37,1,0)+IF(S37&gt;S38,1,0)+1)</f>
        <v>4</v>
      </c>
      <c r="S37" s="85">
        <f>IF(VLOOKUP(U37,J35:P38,7,FALSE)="",GMT_MIN,10-VLOOKUP(U37,J35:P38,7,FALSE))*10+T37</f>
        <v>1</v>
      </c>
      <c r="T37" s="85">
        <f>IF(AB37&gt;AB35,1,0)+IF(AB37&gt;AB36,1,0)+IF(AB37&gt;AB37,1,0)+IF(AB37&gt;AB38,1,0)+1</f>
        <v>1</v>
      </c>
      <c r="U37" s="16" t="str">
        <f>INDEX(T,21,language)</f>
        <v>USA</v>
      </c>
      <c r="V37" s="35">
        <f>COUNTIF(AV7:AW54,CONCATENATE(U37,"_win"))</f>
        <v>0</v>
      </c>
      <c r="W37" s="35">
        <f>COUNTIF(AV7:AW54,CONCATENATE(U37,"_draw"))</f>
        <v>1</v>
      </c>
      <c r="X37" s="35">
        <f>COUNTIF(AV7:AW54,CONCATENATE(U37,"_lose"))</f>
        <v>2</v>
      </c>
      <c r="Y37" s="35">
        <f>SUMIF(AR7:AR54,CONCATENATE("=",U37),AS7:AS54)+SUMIF(AN7:AN54,CONCATENATE("=",U37),AO7:AO54)</f>
        <v>2</v>
      </c>
      <c r="Z37" s="35">
        <f>SUMIF(AT7:AT54,CONCATENATE("=",U37),AU7:AU54)+SUMIF(AP7:AP54,CONCATENATE("=",U37),AQ7:AQ54)</f>
        <v>6</v>
      </c>
      <c r="AA37" s="35">
        <f>V37*3+W37</f>
        <v>1</v>
      </c>
      <c r="AB37" s="35">
        <f>0.2+AK37+Y37*1000+(Y37-Z37)*100000+AA37*10000000</f>
        <v>9602000.1999999993</v>
      </c>
      <c r="AC37" s="16">
        <f>IF(COUNTIF(AA35:AA38,CONCATENATE("=",AA37))=1,0,COUNTIF(AA35:AA38,CONCATENATE("=",AA37)))*AA37</f>
        <v>0</v>
      </c>
      <c r="AF37" s="35">
        <f>IF(AA37=AE35,1,0)</f>
        <v>0</v>
      </c>
      <c r="AG37" s="35">
        <f>COUNTIF(AX7:AY54,CONCATENATE(U37,"_win"))</f>
        <v>0</v>
      </c>
      <c r="AH37" s="35">
        <f>SUMIF(BD7:BD54,CONCATENATE("=",U37),BE7:BE54)+SUMIF(AZ7:AZ54,CONCATENATE("=",U37),BA7:BA54)</f>
        <v>0</v>
      </c>
      <c r="AI37" s="35">
        <f>SUMIF(BF7:BF54,CONCATENATE("=",U37),BG7:BG54)+SUMIF(BB7:BB54,CONCATENATE("=",U37),BC7:BC54)</f>
        <v>0</v>
      </c>
      <c r="AJ37" s="16">
        <f>300*AG37+(AH37-AI37)*10+AH37</f>
        <v>0</v>
      </c>
      <c r="AK37" s="16">
        <f>IF(AJ37&gt;0,AJ37,0)</f>
        <v>0</v>
      </c>
      <c r="AM37" s="16">
        <f>VLOOKUP(F37,U7:AF59,12,FALSE)+VLOOKUP(C37,U7:AF59,12,FALSE)</f>
        <v>1</v>
      </c>
      <c r="AN37" s="16" t="str">
        <f t="shared" si="0"/>
        <v>Saudi Arabia</v>
      </c>
      <c r="AO37" s="16">
        <f t="shared" si="1"/>
        <v>0</v>
      </c>
      <c r="AP37" s="16" t="str">
        <f t="shared" si="2"/>
        <v>Saudi Arabia</v>
      </c>
      <c r="AQ37" s="16">
        <f t="shared" si="3"/>
        <v>4</v>
      </c>
      <c r="AR37" s="16" t="str">
        <f t="shared" si="4"/>
        <v>Ukraine</v>
      </c>
      <c r="AS37" s="16">
        <f t="shared" si="5"/>
        <v>4</v>
      </c>
      <c r="AT37" s="16" t="str">
        <f t="shared" si="6"/>
        <v>Ukraine</v>
      </c>
      <c r="AU37" s="16">
        <f t="shared" si="7"/>
        <v>0</v>
      </c>
      <c r="AV37" s="16" t="str">
        <f t="shared" si="8"/>
        <v>Saudi Arabia_lose</v>
      </c>
      <c r="AW37" s="16" t="str">
        <f t="shared" si="9"/>
        <v>Ukraine_win</v>
      </c>
      <c r="AX37" s="16" t="str">
        <f t="shared" si="10"/>
        <v/>
      </c>
      <c r="AY37" s="16" t="str">
        <f t="shared" si="11"/>
        <v/>
      </c>
      <c r="AZ37" s="16" t="str">
        <f t="shared" si="12"/>
        <v/>
      </c>
      <c r="BA37" s="16" t="str">
        <f t="shared" si="13"/>
        <v/>
      </c>
      <c r="BB37" s="16" t="str">
        <f t="shared" si="14"/>
        <v/>
      </c>
      <c r="BC37" s="49" t="str">
        <f t="shared" si="15"/>
        <v/>
      </c>
      <c r="BD37" s="49" t="str">
        <f t="shared" si="16"/>
        <v/>
      </c>
      <c r="BE37" s="49" t="str">
        <f t="shared" si="17"/>
        <v/>
      </c>
      <c r="BF37" s="49" t="str">
        <f t="shared" si="18"/>
        <v/>
      </c>
      <c r="BG37" s="49" t="str">
        <f t="shared" si="19"/>
        <v/>
      </c>
      <c r="BJ37" s="49" t="s">
        <v>70</v>
      </c>
      <c r="BK37" s="49">
        <v>31</v>
      </c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108" ht="13.5" customHeight="1">
      <c r="A38" s="21" t="str">
        <f>CONCATENATE(19+IF(GMT&gt;4,1,0)," ",INDEX(T,80,language))</f>
        <v>19 Jun</v>
      </c>
      <c r="B38" s="22">
        <f>TIME(19+GMT,GMT_MIN,0)</f>
        <v>0.875</v>
      </c>
      <c r="C38" s="51" t="str">
        <f>U56</f>
        <v>Spain</v>
      </c>
      <c r="D38" s="15">
        <v>3</v>
      </c>
      <c r="E38" s="15">
        <v>1</v>
      </c>
      <c r="F38" s="53" t="str">
        <f>U58</f>
        <v>Tunisia</v>
      </c>
      <c r="J38" s="42" t="str">
        <f>VLOOKUP(1,T35:AA38,2,FALSE)</f>
        <v>USA</v>
      </c>
      <c r="K38" s="43">
        <f>VLOOKUP(1,T35:AA38,3,FALSE)</f>
        <v>0</v>
      </c>
      <c r="L38" s="43">
        <f>VLOOKUP(1,T35:AA38,4,FALSE)</f>
        <v>1</v>
      </c>
      <c r="M38" s="43">
        <f>VLOOKUP(1,T35:AA38,5,FALSE)</f>
        <v>2</v>
      </c>
      <c r="N38" s="43" t="str">
        <f>CONCATENATE(VLOOKUP(1,T35:AA38,6,FALSE)," - ",VLOOKUP(1,T35:AA38,7,FALSE))</f>
        <v>2 - 6</v>
      </c>
      <c r="O38" s="43">
        <f>VLOOKUP(1,T35:AA38,8,FALSE)</f>
        <v>1</v>
      </c>
      <c r="P38" s="48"/>
      <c r="R38" s="85">
        <f>5-(IF(S38&gt;S35,1,0)+IF(S38&gt;S36,1,0)+IF(S38&gt;S37,1,0)+IF(S38&gt;S38,1,0)+1)</f>
        <v>3</v>
      </c>
      <c r="S38" s="85">
        <f>IF(VLOOKUP(U38,J35:P38,7,FALSE)="",GMT_MIN,10-VLOOKUP(U38,J35:P38,7,FALSE))*10+T38</f>
        <v>2</v>
      </c>
      <c r="T38" s="85">
        <f>IF(AB38&gt;AB35,1,0)+IF(AB38&gt;AB36,1,0)+IF(AB38&gt;AB37,1,0)+IF(AB38&gt;AB38,1,0)+1</f>
        <v>2</v>
      </c>
      <c r="U38" s="16" t="str">
        <f>INDEX(T,22,language)</f>
        <v>Czech Republic</v>
      </c>
      <c r="V38" s="35">
        <f>COUNTIF(AV7:AW54,CONCATENATE(U38,"_win"))</f>
        <v>1</v>
      </c>
      <c r="W38" s="35">
        <f>COUNTIF(AV7:AW54,CONCATENATE(U38,"_draw"))</f>
        <v>0</v>
      </c>
      <c r="X38" s="35">
        <f>COUNTIF(AV7:AW54,CONCATENATE(U38,"_lose"))</f>
        <v>2</v>
      </c>
      <c r="Y38" s="35">
        <f>SUMIF(AR7:AR54,CONCATENATE("=",U38),AS7:AS54)+SUMIF(AN7:AN54,CONCATENATE("=",U38),AO7:AO54)</f>
        <v>3</v>
      </c>
      <c r="Z38" s="35">
        <f>SUMIF(AT7:AT54,CONCATENATE("=",U38),AU7:AU54)+SUMIF(AP7:AP54,CONCATENATE("=",U38),AQ7:AQ54)</f>
        <v>4</v>
      </c>
      <c r="AA38" s="35">
        <f>V38*3+W38</f>
        <v>3</v>
      </c>
      <c r="AB38" s="35">
        <f>0.1+AK38+Y38*1000+(Y38-Z38)*100000+AA38*10000000</f>
        <v>29903000.100000001</v>
      </c>
      <c r="AC38" s="16">
        <f>IF(COUNTIF(AA35:AA38,CONCATENATE("=",AA38))=1,0,COUNTIF(AA35:AA38,CONCATENATE("=",AA38)))*AA38</f>
        <v>0</v>
      </c>
      <c r="AF38" s="35">
        <f>IF(AA38=AE35,1,0)</f>
        <v>0</v>
      </c>
      <c r="AG38" s="35">
        <f>COUNTIF(AX7:AY54,CONCATENATE(U38,"_win"))</f>
        <v>0</v>
      </c>
      <c r="AH38" s="35">
        <f>SUMIF(BD7:BD54,CONCATENATE("=",U38),BE7:BE54)+SUMIF(AZ7:AZ54,CONCATENATE("=",U38),BA7:BA54)</f>
        <v>0</v>
      </c>
      <c r="AI38" s="35">
        <f>SUMIF(BF7:BF54,CONCATENATE("=",U38),BG7:BG54)+SUMIF(BB7:BB54,CONCATENATE("=",U38),BC7:BC54)</f>
        <v>0</v>
      </c>
      <c r="AJ38" s="16">
        <f>300*AG38+(AH38-AI38)*10+AH38</f>
        <v>0</v>
      </c>
      <c r="AK38" s="16">
        <f>IF(AJ38&gt;0,AJ38,0)</f>
        <v>0</v>
      </c>
      <c r="AM38" s="16">
        <f>VLOOKUP(F38,U7:AF59,12,FALSE)+VLOOKUP(C38,U7:AF59,12,FALSE)</f>
        <v>1</v>
      </c>
      <c r="AN38" s="16" t="str">
        <f t="shared" si="0"/>
        <v>Spain</v>
      </c>
      <c r="AO38" s="16">
        <f t="shared" si="1"/>
        <v>3</v>
      </c>
      <c r="AP38" s="16" t="str">
        <f t="shared" si="2"/>
        <v>Spain</v>
      </c>
      <c r="AQ38" s="16">
        <f t="shared" si="3"/>
        <v>1</v>
      </c>
      <c r="AR38" s="16" t="str">
        <f t="shared" si="4"/>
        <v>Tunisia</v>
      </c>
      <c r="AS38" s="16">
        <f t="shared" si="5"/>
        <v>1</v>
      </c>
      <c r="AT38" s="16" t="str">
        <f t="shared" si="6"/>
        <v>Tunisia</v>
      </c>
      <c r="AU38" s="16">
        <f t="shared" si="7"/>
        <v>3</v>
      </c>
      <c r="AV38" s="16" t="str">
        <f t="shared" si="8"/>
        <v>Spain_win</v>
      </c>
      <c r="AW38" s="16" t="str">
        <f t="shared" si="9"/>
        <v>Tunisia_lose</v>
      </c>
      <c r="AX38" s="16" t="str">
        <f t="shared" si="10"/>
        <v/>
      </c>
      <c r="AY38" s="16" t="str">
        <f t="shared" si="11"/>
        <v/>
      </c>
      <c r="AZ38" s="16" t="str">
        <f t="shared" si="12"/>
        <v/>
      </c>
      <c r="BA38" s="16" t="str">
        <f t="shared" si="13"/>
        <v/>
      </c>
      <c r="BB38" s="16" t="str">
        <f t="shared" si="14"/>
        <v/>
      </c>
      <c r="BC38" s="49" t="str">
        <f t="shared" si="15"/>
        <v/>
      </c>
      <c r="BD38" s="49" t="str">
        <f t="shared" si="16"/>
        <v/>
      </c>
      <c r="BE38" s="49" t="str">
        <f t="shared" si="17"/>
        <v/>
      </c>
      <c r="BF38" s="49" t="str">
        <f t="shared" si="18"/>
        <v/>
      </c>
      <c r="BG38" s="49" t="str">
        <f t="shared" si="19"/>
        <v/>
      </c>
      <c r="BJ38" s="49" t="s">
        <v>71</v>
      </c>
      <c r="BK38" s="49">
        <v>32</v>
      </c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</row>
    <row r="39" spans="1:108" ht="13.5" customHeight="1">
      <c r="A39" s="23" t="str">
        <f>CONCATENATE(20+IF(GMT&gt;9,1,0)," ",INDEX(T,80,language))</f>
        <v>20 Jun</v>
      </c>
      <c r="B39" s="24">
        <f>TIME(14+GMT,GMT_MIN,0)</f>
        <v>0.66666666666666663</v>
      </c>
      <c r="C39" s="52" t="str">
        <f>U10</f>
        <v>Ecuador</v>
      </c>
      <c r="D39" s="15">
        <v>4</v>
      </c>
      <c r="E39" s="15">
        <v>5</v>
      </c>
      <c r="F39" s="53" t="str">
        <f>U7</f>
        <v>Germany</v>
      </c>
      <c r="J39" s="44"/>
      <c r="K39" s="45"/>
      <c r="L39" s="45"/>
      <c r="M39" s="45"/>
      <c r="N39" s="45"/>
      <c r="O39" s="45"/>
      <c r="P39" s="45"/>
      <c r="AC39" s="16">
        <f>MAX(AC35:AC38)</f>
        <v>0</v>
      </c>
      <c r="AM39" s="16">
        <f>VLOOKUP(F39,U7:AF59,12,FALSE)+VLOOKUP(C39,U7:AF59,12,FALSE)</f>
        <v>1</v>
      </c>
      <c r="AN39" s="16" t="str">
        <f t="shared" si="0"/>
        <v>Ecuador</v>
      </c>
      <c r="AO39" s="16">
        <f t="shared" si="1"/>
        <v>4</v>
      </c>
      <c r="AP39" s="16" t="str">
        <f t="shared" si="2"/>
        <v>Ecuador</v>
      </c>
      <c r="AQ39" s="16">
        <f t="shared" si="3"/>
        <v>5</v>
      </c>
      <c r="AR39" s="16" t="str">
        <f t="shared" si="4"/>
        <v>Germany</v>
      </c>
      <c r="AS39" s="16">
        <f t="shared" si="5"/>
        <v>5</v>
      </c>
      <c r="AT39" s="16" t="str">
        <f t="shared" si="6"/>
        <v>Germany</v>
      </c>
      <c r="AU39" s="16">
        <f t="shared" si="7"/>
        <v>4</v>
      </c>
      <c r="AV39" s="16" t="str">
        <f t="shared" si="8"/>
        <v>Ecuador_lose</v>
      </c>
      <c r="AW39" s="16" t="str">
        <f t="shared" si="9"/>
        <v>Germany_win</v>
      </c>
      <c r="AX39" s="16" t="str">
        <f t="shared" si="10"/>
        <v/>
      </c>
      <c r="AY39" s="16" t="str">
        <f t="shared" si="11"/>
        <v/>
      </c>
      <c r="AZ39" s="16" t="str">
        <f t="shared" si="12"/>
        <v/>
      </c>
      <c r="BA39" s="16" t="str">
        <f t="shared" si="13"/>
        <v/>
      </c>
      <c r="BB39" s="16" t="str">
        <f t="shared" si="14"/>
        <v/>
      </c>
      <c r="BC39" s="49" t="str">
        <f t="shared" si="15"/>
        <v/>
      </c>
      <c r="BD39" s="49" t="str">
        <f t="shared" si="16"/>
        <v/>
      </c>
      <c r="BE39" s="49" t="str">
        <f t="shared" si="17"/>
        <v/>
      </c>
      <c r="BF39" s="49" t="str">
        <f t="shared" si="18"/>
        <v/>
      </c>
      <c r="BG39" s="49" t="str">
        <f t="shared" si="19"/>
        <v/>
      </c>
      <c r="BJ39" s="49" t="s">
        <v>72</v>
      </c>
      <c r="BK39" s="49">
        <v>33</v>
      </c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</row>
    <row r="40" spans="1:108" ht="13.5" customHeight="1">
      <c r="A40" s="21" t="str">
        <f>CONCATENATE(20+IF(GMT&gt;9,1,0)," ",INDEX(T,80,language))</f>
        <v>20 Jun</v>
      </c>
      <c r="B40" s="22">
        <f>TIME(14+GMT,GMT_MIN,0)</f>
        <v>0.66666666666666663</v>
      </c>
      <c r="C40" s="51" t="str">
        <f>U8</f>
        <v>Costa Rica</v>
      </c>
      <c r="D40" s="15">
        <v>1</v>
      </c>
      <c r="E40" s="15">
        <v>2</v>
      </c>
      <c r="F40" s="53" t="str">
        <f>U9</f>
        <v>Poland</v>
      </c>
      <c r="J40" s="70" t="str">
        <f>CONCATENATE(INDEX(T,40,language)," F")</f>
        <v>Group F</v>
      </c>
      <c r="K40" s="72" t="str">
        <f>INDEX(T,35,language)</f>
        <v>W</v>
      </c>
      <c r="L40" s="72" t="str">
        <f>INDEX(T,36,language)</f>
        <v>D</v>
      </c>
      <c r="M40" s="72" t="str">
        <f>INDEX(T,37,language)</f>
        <v>L</v>
      </c>
      <c r="N40" s="72" t="str">
        <f>INDEX(T,38,language)</f>
        <v>F - A</v>
      </c>
      <c r="O40" s="72" t="str">
        <f>INDEX(T,39,language)</f>
        <v>Pnt</v>
      </c>
      <c r="P40" s="1" t="s">
        <v>1</v>
      </c>
      <c r="AM40" s="16">
        <f>VLOOKUP(F40,U7:AF59,12,FALSE)+VLOOKUP(C40,U7:AF59,12,FALSE)</f>
        <v>0</v>
      </c>
      <c r="AN40" s="16" t="str">
        <f t="shared" si="0"/>
        <v>Costa Rica</v>
      </c>
      <c r="AO40" s="16">
        <f t="shared" si="1"/>
        <v>1</v>
      </c>
      <c r="AP40" s="16" t="str">
        <f t="shared" si="2"/>
        <v>Costa Rica</v>
      </c>
      <c r="AQ40" s="16">
        <f t="shared" si="3"/>
        <v>2</v>
      </c>
      <c r="AR40" s="16" t="str">
        <f t="shared" si="4"/>
        <v>Poland</v>
      </c>
      <c r="AS40" s="16">
        <f t="shared" si="5"/>
        <v>2</v>
      </c>
      <c r="AT40" s="16" t="str">
        <f t="shared" si="6"/>
        <v>Poland</v>
      </c>
      <c r="AU40" s="16">
        <f t="shared" si="7"/>
        <v>1</v>
      </c>
      <c r="AV40" s="16" t="str">
        <f t="shared" si="8"/>
        <v>Costa Rica_lose</v>
      </c>
      <c r="AW40" s="16" t="str">
        <f t="shared" si="9"/>
        <v>Poland_win</v>
      </c>
      <c r="AX40" s="16" t="str">
        <f t="shared" si="10"/>
        <v/>
      </c>
      <c r="AY40" s="16" t="str">
        <f t="shared" si="11"/>
        <v/>
      </c>
      <c r="AZ40" s="16" t="str">
        <f t="shared" si="12"/>
        <v/>
      </c>
      <c r="BA40" s="16" t="str">
        <f t="shared" si="13"/>
        <v/>
      </c>
      <c r="BB40" s="16" t="str">
        <f t="shared" si="14"/>
        <v/>
      </c>
      <c r="BC40" s="49" t="str">
        <f t="shared" si="15"/>
        <v/>
      </c>
      <c r="BD40" s="49" t="str">
        <f t="shared" si="16"/>
        <v/>
      </c>
      <c r="BE40" s="49" t="str">
        <f t="shared" si="17"/>
        <v/>
      </c>
      <c r="BF40" s="49" t="str">
        <f t="shared" si="18"/>
        <v/>
      </c>
      <c r="BG40" s="49" t="str">
        <f t="shared" si="19"/>
        <v/>
      </c>
      <c r="BJ40" s="49" t="s">
        <v>73</v>
      </c>
      <c r="BK40" s="49">
        <v>34</v>
      </c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1:108" ht="13.5" customHeight="1">
      <c r="A41" s="21" t="str">
        <f>CONCATENATE(20+IF(GMT&gt;4,1,0)," ",INDEX(T,80,language))</f>
        <v>20 Jun</v>
      </c>
      <c r="B41" s="22">
        <f>TIME(19+GMT,GMT_MIN,0)</f>
        <v>0.875</v>
      </c>
      <c r="C41" s="51" t="str">
        <f>U15</f>
        <v>Paraguay</v>
      </c>
      <c r="D41" s="15">
        <v>2</v>
      </c>
      <c r="E41" s="15">
        <v>0</v>
      </c>
      <c r="F41" s="53" t="str">
        <f>U16</f>
        <v>Trinidad &amp; Tobago</v>
      </c>
      <c r="J41" s="71"/>
      <c r="K41" s="73"/>
      <c r="L41" s="73"/>
      <c r="M41" s="73"/>
      <c r="N41" s="73"/>
      <c r="O41" s="73"/>
      <c r="P41" s="59"/>
      <c r="AM41" s="16">
        <f>VLOOKUP(F41,U7:AF59,12,FALSE)+VLOOKUP(C41,U7:AF59,12,FALSE)</f>
        <v>0</v>
      </c>
      <c r="AN41" s="16" t="str">
        <f t="shared" si="0"/>
        <v>Paraguay</v>
      </c>
      <c r="AO41" s="16">
        <f t="shared" si="1"/>
        <v>2</v>
      </c>
      <c r="AP41" s="16" t="str">
        <f t="shared" si="2"/>
        <v>Paraguay</v>
      </c>
      <c r="AQ41" s="16">
        <f t="shared" si="3"/>
        <v>0</v>
      </c>
      <c r="AR41" s="16" t="str">
        <f t="shared" si="4"/>
        <v>Trinidad &amp; Tobago</v>
      </c>
      <c r="AS41" s="16">
        <f t="shared" si="5"/>
        <v>0</v>
      </c>
      <c r="AT41" s="16" t="str">
        <f t="shared" si="6"/>
        <v>Trinidad &amp; Tobago</v>
      </c>
      <c r="AU41" s="16">
        <f t="shared" si="7"/>
        <v>2</v>
      </c>
      <c r="AV41" s="16" t="str">
        <f t="shared" si="8"/>
        <v>Paraguay_win</v>
      </c>
      <c r="AW41" s="16" t="str">
        <f t="shared" si="9"/>
        <v>Trinidad &amp; Tobago_lose</v>
      </c>
      <c r="AX41" s="16" t="str">
        <f t="shared" si="10"/>
        <v/>
      </c>
      <c r="AY41" s="16" t="str">
        <f t="shared" si="11"/>
        <v/>
      </c>
      <c r="AZ41" s="16" t="str">
        <f t="shared" si="12"/>
        <v/>
      </c>
      <c r="BA41" s="16" t="str">
        <f t="shared" si="13"/>
        <v/>
      </c>
      <c r="BB41" s="16" t="str">
        <f t="shared" si="14"/>
        <v/>
      </c>
      <c r="BC41" s="49" t="str">
        <f t="shared" si="15"/>
        <v/>
      </c>
      <c r="BD41" s="49" t="str">
        <f t="shared" si="16"/>
        <v/>
      </c>
      <c r="BE41" s="49" t="str">
        <f t="shared" si="17"/>
        <v/>
      </c>
      <c r="BF41" s="49" t="str">
        <f t="shared" si="18"/>
        <v/>
      </c>
      <c r="BG41" s="49" t="str">
        <f t="shared" si="19"/>
        <v/>
      </c>
      <c r="BJ41" s="49" t="s">
        <v>74</v>
      </c>
      <c r="BK41" s="49">
        <v>35</v>
      </c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</row>
    <row r="42" spans="1:108" ht="13.5" customHeight="1">
      <c r="A42" s="21" t="str">
        <f>CONCATENATE(20+IF(GMT&gt;4,1,0)," ",INDEX(T,80,language))</f>
        <v>20 Jun</v>
      </c>
      <c r="B42" s="22">
        <f>TIME(19+GMT,GMT_MIN,0)</f>
        <v>0.875</v>
      </c>
      <c r="C42" s="51" t="str">
        <f>U17</f>
        <v>Sweden</v>
      </c>
      <c r="D42" s="15">
        <v>2</v>
      </c>
      <c r="E42" s="15">
        <v>2</v>
      </c>
      <c r="F42" s="53" t="str">
        <f>U14</f>
        <v>England</v>
      </c>
      <c r="J42" s="38" t="str">
        <f>VLOOKUP(4,T42:AA45,2,FALSE)</f>
        <v>Brazil</v>
      </c>
      <c r="K42" s="39">
        <f>VLOOKUP(4,T42:AA45,3,FALSE)</f>
        <v>3</v>
      </c>
      <c r="L42" s="39">
        <f>VLOOKUP(4,T42:AA45,4,FALSE)</f>
        <v>0</v>
      </c>
      <c r="M42" s="39">
        <f>VLOOKUP(4,T42:AA45,5,FALSE)</f>
        <v>0</v>
      </c>
      <c r="N42" s="39" t="str">
        <f>CONCATENATE(VLOOKUP(4,T42:AA45,6,FALSE)," - ",VLOOKUP(4,T42:AA45,7,FALSE))</f>
        <v>5 - 1</v>
      </c>
      <c r="O42" s="39">
        <f>VLOOKUP(4,T42:AA45,8,FALSE)</f>
        <v>9</v>
      </c>
      <c r="P42" s="46"/>
      <c r="R42" s="85">
        <f>5-(IF(S42&gt;S42,1,0)+IF(S42&gt;S43,1,0)+IF(S42&gt;S44,1,0)+IF(S42&gt;S45,1,0)+1)</f>
        <v>1</v>
      </c>
      <c r="S42" s="85">
        <f>IF(VLOOKUP(U42,J42:P45,7,FALSE)="",GMT_MIN,10-VLOOKUP(U42,J42:P45,7,FALSE))*10+T42</f>
        <v>4</v>
      </c>
      <c r="T42" s="85">
        <f>IF(AB42&gt;AB42,1,0)+IF(AB42&gt;AB43,1,0)+IF(AB42&gt;AB44,1,0)+IF(AB42&gt;AB45,1,0)+1</f>
        <v>4</v>
      </c>
      <c r="U42" s="16" t="str">
        <f>INDEX(T,23,language)</f>
        <v>Brazil</v>
      </c>
      <c r="V42" s="35">
        <f>COUNTIF(AV7:AW54,CONCATENATE(U42,"_win"))</f>
        <v>3</v>
      </c>
      <c r="W42" s="35">
        <f>COUNTIF(AV7:AW54,CONCATENATE(U42,"_draw"))</f>
        <v>0</v>
      </c>
      <c r="X42" s="35">
        <f>COUNTIF(AV7:AW54,CONCATENATE(U42,"_lose"))</f>
        <v>0</v>
      </c>
      <c r="Y42" s="35">
        <f>SUMIF(AR7:AR54,CONCATENATE("=",U42),AS7:AS54)+SUMIF(AN7:AN54,CONCATENATE("=",U42),AO7:AO54)</f>
        <v>5</v>
      </c>
      <c r="Z42" s="35">
        <f>SUMIF(AT7:AT54,CONCATENATE("=",U42),AU7:AU54)+SUMIF(AP7:AP54,CONCATENATE("=",U42),AQ7:AQ54)</f>
        <v>1</v>
      </c>
      <c r="AA42" s="35">
        <f>V42*3+W42</f>
        <v>9</v>
      </c>
      <c r="AB42" s="35">
        <f>0.4+AK42+Y42*1000+(Y42-Z42)*100000+AA42*10000000</f>
        <v>90405000.400000006</v>
      </c>
      <c r="AC42" s="16">
        <f>IF(COUNTIF(AA42:AA45,CONCATENATE("=",AA42))=1,0,COUNTIF(AA42:AA45,CONCATENATE("=",AA42)))*AA42</f>
        <v>0</v>
      </c>
      <c r="AD42" s="16" t="str">
        <f>IF(SUM(V42:X45)=12,VLOOKUP(1,R42:U45,4,FALSE),INDEX(T,58,language))</f>
        <v>Brazil</v>
      </c>
      <c r="AE42" s="35">
        <f>IF(AC42=AC46,AA42,IF(AC43=AC46,AA43,IF(AC44=AC46,AA44,AA45)))</f>
        <v>9</v>
      </c>
      <c r="AF42" s="35">
        <f>IF(AA42=AE42,1,0)</f>
        <v>1</v>
      </c>
      <c r="AG42" s="35">
        <f>COUNTIF(AX7:AY54,CONCATENATE(U42,"_win"))</f>
        <v>0</v>
      </c>
      <c r="AH42" s="35">
        <f>SUMIF(BD7:BD54,CONCATENATE("=",U42),BE7:BE54)+SUMIF(AZ7:AZ54,CONCATENATE("=",U42),BA7:BA54)</f>
        <v>0</v>
      </c>
      <c r="AI42" s="35">
        <f>SUMIF(BF7:BF54,CONCATENATE("=",U42),BG7:BG54)+SUMIF(BB7:BB54,CONCATENATE("=",U42),BC7:BC54)</f>
        <v>0</v>
      </c>
      <c r="AJ42" s="16">
        <f>300*AG42+(AH42-AI42)*10+AH42</f>
        <v>0</v>
      </c>
      <c r="AK42" s="16">
        <f>IF(AJ42&gt;0,AJ42,0)</f>
        <v>0</v>
      </c>
      <c r="AM42" s="16">
        <f>VLOOKUP(F42,U7:AF59,12,FALSE)+VLOOKUP(C42,U7:AF59,12,FALSE)</f>
        <v>1</v>
      </c>
      <c r="AN42" s="16" t="str">
        <f t="shared" si="0"/>
        <v>Sweden</v>
      </c>
      <c r="AO42" s="16">
        <f t="shared" si="1"/>
        <v>2</v>
      </c>
      <c r="AP42" s="16" t="str">
        <f t="shared" si="2"/>
        <v>Sweden</v>
      </c>
      <c r="AQ42" s="16">
        <f t="shared" si="3"/>
        <v>2</v>
      </c>
      <c r="AR42" s="16" t="str">
        <f t="shared" si="4"/>
        <v>England</v>
      </c>
      <c r="AS42" s="16">
        <f t="shared" si="5"/>
        <v>2</v>
      </c>
      <c r="AT42" s="16" t="str">
        <f t="shared" si="6"/>
        <v>England</v>
      </c>
      <c r="AU42" s="16">
        <f t="shared" si="7"/>
        <v>2</v>
      </c>
      <c r="AV42" s="16" t="str">
        <f t="shared" si="8"/>
        <v>Sweden_draw</v>
      </c>
      <c r="AW42" s="16" t="str">
        <f t="shared" si="9"/>
        <v>England_draw</v>
      </c>
      <c r="AX42" s="16" t="str">
        <f t="shared" si="10"/>
        <v/>
      </c>
      <c r="AY42" s="16" t="str">
        <f t="shared" si="11"/>
        <v/>
      </c>
      <c r="AZ42" s="16" t="str">
        <f t="shared" si="12"/>
        <v/>
      </c>
      <c r="BA42" s="16" t="str">
        <f t="shared" si="13"/>
        <v/>
      </c>
      <c r="BB42" s="16" t="str">
        <f t="shared" si="14"/>
        <v/>
      </c>
      <c r="BC42" s="49" t="str">
        <f t="shared" si="15"/>
        <v/>
      </c>
      <c r="BD42" s="49" t="str">
        <f t="shared" si="16"/>
        <v/>
      </c>
      <c r="BE42" s="49" t="str">
        <f t="shared" si="17"/>
        <v/>
      </c>
      <c r="BF42" s="49" t="str">
        <f t="shared" si="18"/>
        <v/>
      </c>
      <c r="BG42" s="49" t="str">
        <f t="shared" si="19"/>
        <v/>
      </c>
      <c r="BJ42" s="49" t="s">
        <v>75</v>
      </c>
      <c r="BK42" s="49">
        <v>36</v>
      </c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</row>
    <row r="43" spans="1:108" ht="13.5" customHeight="1">
      <c r="A43" s="21" t="str">
        <f>CONCATENATE(21+IF(GMT&gt;9,1,0)," ",INDEX(T,80,language))</f>
        <v>21 Jun</v>
      </c>
      <c r="B43" s="22">
        <f>TIME(14+GMT,GMT_MIN,0)</f>
        <v>0.66666666666666663</v>
      </c>
      <c r="C43" s="51" t="str">
        <f>U29</f>
        <v>Iran</v>
      </c>
      <c r="D43" s="15">
        <v>1</v>
      </c>
      <c r="E43" s="15">
        <v>1</v>
      </c>
      <c r="F43" s="53" t="str">
        <f>U30</f>
        <v>Angola</v>
      </c>
      <c r="J43" s="40" t="str">
        <f>VLOOKUP(3,T42:AA45,2,FALSE)</f>
        <v>Australia</v>
      </c>
      <c r="K43" s="41">
        <f>VLOOKUP(3,T42:AA45,3,FALSE)</f>
        <v>1</v>
      </c>
      <c r="L43" s="41">
        <f>VLOOKUP(3,T42:AA45,4,FALSE)</f>
        <v>1</v>
      </c>
      <c r="M43" s="41">
        <f>VLOOKUP(3,T42:AA45,5,FALSE)</f>
        <v>1</v>
      </c>
      <c r="N43" s="41" t="str">
        <f>CONCATENATE(VLOOKUP(3,T42:AA45,6,FALSE)," - ",VLOOKUP(3,T42:AA45,7,FALSE))</f>
        <v>5 - 5</v>
      </c>
      <c r="O43" s="41">
        <f>VLOOKUP(3,T42:AA45,8,FALSE)</f>
        <v>4</v>
      </c>
      <c r="P43" s="47"/>
      <c r="R43" s="85">
        <f>5-(IF(S43&gt;S42,1,0)+IF(S43&gt;S43,1,0)+IF(S43&gt;S44,1,0)+IF(S43&gt;S45,1,0)+1)</f>
        <v>3</v>
      </c>
      <c r="S43" s="85">
        <f>IF(VLOOKUP(U43,J42:P45,7,FALSE)="",GMT_MIN,10-VLOOKUP(U43,J42:P45,7,FALSE))*10+T43</f>
        <v>2</v>
      </c>
      <c r="T43" s="85">
        <f>IF(AB43&gt;AB42,1,0)+IF(AB43&gt;AB43,1,0)+IF(AB43&gt;AB44,1,0)+IF(AB43&gt;AB45,1,0)+1</f>
        <v>2</v>
      </c>
      <c r="U43" s="16" t="str">
        <f>INDEX(T,24,language)</f>
        <v>Croatia</v>
      </c>
      <c r="V43" s="35">
        <f>COUNTIF(AV7:AW54,CONCATENATE(U43,"_win"))</f>
        <v>0</v>
      </c>
      <c r="W43" s="35">
        <f>COUNTIF(AV7:AW54,CONCATENATE(U43,"_draw"))</f>
        <v>2</v>
      </c>
      <c r="X43" s="35">
        <f>COUNTIF(AV7:AW54,CONCATENATE(U43,"_lose"))</f>
        <v>1</v>
      </c>
      <c r="Y43" s="35">
        <f>SUMIF(AR7:AR54,CONCATENATE("=",U43),AS7:AS54)+SUMIF(AN7:AN54,CONCATENATE("=",U43),AO7:AO54)</f>
        <v>2</v>
      </c>
      <c r="Z43" s="35">
        <f>SUMIF(AT7:AT54,CONCATENATE("=",U43),AU7:AU54)+SUMIF(AP7:AP54,CONCATENATE("=",U43),AQ7:AQ54)</f>
        <v>3</v>
      </c>
      <c r="AA43" s="35">
        <f>V43*3+W43</f>
        <v>2</v>
      </c>
      <c r="AB43" s="35">
        <f>0.3+AK43+Y43*1000+(Y43-Z43)*100000+AA43*10000000</f>
        <v>19902000.300000001</v>
      </c>
      <c r="AC43" s="16">
        <f>IF(COUNTIF(AA42:AA45,CONCATENATE("=",AA43))=1,0,COUNTIF(AA42:AA45,CONCATENATE("=",AA43)))*AA43</f>
        <v>0</v>
      </c>
      <c r="AD43" s="16" t="str">
        <f>IF(SUM(V42:X45)=12,VLOOKUP(2,R42:U45,4,FALSE),INDEX(T,59,language))</f>
        <v>Australia</v>
      </c>
      <c r="AF43" s="35">
        <f>IF(AA43=AE42,1,0)</f>
        <v>0</v>
      </c>
      <c r="AG43" s="35">
        <f>COUNTIF(AX7:AY54,CONCATENATE(U43,"_win"))</f>
        <v>0</v>
      </c>
      <c r="AH43" s="35">
        <f>SUMIF(BD7:BD54,CONCATENATE("=",U43),BE7:BE54)+SUMIF(AZ7:AZ54,CONCATENATE("=",U43),BA7:BA54)</f>
        <v>0</v>
      </c>
      <c r="AI43" s="35">
        <f>SUMIF(BF7:BF54,CONCATENATE("=",U43),BG7:BG54)+SUMIF(BB7:BB54,CONCATENATE("=",U43),BC7:BC54)</f>
        <v>0</v>
      </c>
      <c r="AJ43" s="16">
        <f>300*AG43+(AH43-AI43)*10+AH43</f>
        <v>0</v>
      </c>
      <c r="AK43" s="16">
        <f>IF(AJ43&gt;0,AJ43,0)</f>
        <v>0</v>
      </c>
      <c r="AM43" s="16">
        <f>VLOOKUP(F43,U7:AF59,12,FALSE)+VLOOKUP(C43,U7:AF59,12,FALSE)</f>
        <v>0</v>
      </c>
      <c r="AN43" s="16" t="str">
        <f t="shared" si="0"/>
        <v>Iran</v>
      </c>
      <c r="AO43" s="16">
        <f t="shared" si="1"/>
        <v>1</v>
      </c>
      <c r="AP43" s="16" t="str">
        <f t="shared" si="2"/>
        <v>Iran</v>
      </c>
      <c r="AQ43" s="16">
        <f t="shared" si="3"/>
        <v>1</v>
      </c>
      <c r="AR43" s="16" t="str">
        <f t="shared" si="4"/>
        <v>Angola</v>
      </c>
      <c r="AS43" s="16">
        <f t="shared" si="5"/>
        <v>1</v>
      </c>
      <c r="AT43" s="16" t="str">
        <f t="shared" si="6"/>
        <v>Angola</v>
      </c>
      <c r="AU43" s="16">
        <f t="shared" si="7"/>
        <v>1</v>
      </c>
      <c r="AV43" s="16" t="str">
        <f t="shared" si="8"/>
        <v>Iran_draw</v>
      </c>
      <c r="AW43" s="16" t="str">
        <f t="shared" si="9"/>
        <v>Angola_draw</v>
      </c>
      <c r="AX43" s="16" t="str">
        <f t="shared" si="10"/>
        <v/>
      </c>
      <c r="AY43" s="16" t="str">
        <f t="shared" si="11"/>
        <v/>
      </c>
      <c r="AZ43" s="16" t="str">
        <f t="shared" si="12"/>
        <v/>
      </c>
      <c r="BA43" s="16" t="str">
        <f t="shared" si="13"/>
        <v/>
      </c>
      <c r="BB43" s="16" t="str">
        <f t="shared" si="14"/>
        <v/>
      </c>
      <c r="BC43" s="49" t="str">
        <f t="shared" si="15"/>
        <v/>
      </c>
      <c r="BD43" s="49" t="str">
        <f t="shared" si="16"/>
        <v/>
      </c>
      <c r="BE43" s="49" t="str">
        <f t="shared" si="17"/>
        <v/>
      </c>
      <c r="BF43" s="49" t="str">
        <f t="shared" si="18"/>
        <v/>
      </c>
      <c r="BG43" s="49" t="str">
        <f t="shared" si="19"/>
        <v/>
      </c>
      <c r="BJ43" s="49" t="s">
        <v>76</v>
      </c>
      <c r="BK43" s="49">
        <v>37</v>
      </c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1:108" ht="13.5" customHeight="1">
      <c r="A44" s="21" t="str">
        <f>CONCATENATE(21+IF(GMT&gt;9,1,0)," ",INDEX(T,80,language))</f>
        <v>21 Jun</v>
      </c>
      <c r="B44" s="22">
        <f>TIME(14+GMT,GMT_MIN,0)</f>
        <v>0.66666666666666663</v>
      </c>
      <c r="C44" s="51" t="str">
        <f>U31</f>
        <v>Portugal</v>
      </c>
      <c r="D44" s="15">
        <v>2</v>
      </c>
      <c r="E44" s="15">
        <v>1</v>
      </c>
      <c r="F44" s="53" t="str">
        <f>U28</f>
        <v>Mexico</v>
      </c>
      <c r="J44" s="40" t="str">
        <f>VLOOKUP(2,T42:AA45,2,FALSE)</f>
        <v>Croatia</v>
      </c>
      <c r="K44" s="41">
        <f>VLOOKUP(2,T42:AA45,3,FALSE)</f>
        <v>0</v>
      </c>
      <c r="L44" s="41">
        <f>VLOOKUP(2,T42:AA45,4,FALSE)</f>
        <v>2</v>
      </c>
      <c r="M44" s="41">
        <f>VLOOKUP(2,T42:AA45,5,FALSE)</f>
        <v>1</v>
      </c>
      <c r="N44" s="41" t="str">
        <f>CONCATENATE(VLOOKUP(2,T42:AA45,6,FALSE)," - ",VLOOKUP(2,T42:AA45,7,FALSE))</f>
        <v>2 - 3</v>
      </c>
      <c r="O44" s="41">
        <f>VLOOKUP(2,T42:AA45,8,FALSE)</f>
        <v>2</v>
      </c>
      <c r="P44" s="47"/>
      <c r="R44" s="85">
        <f>5-(IF(S44&gt;S42,1,0)+IF(S44&gt;S43,1,0)+IF(S44&gt;S44,1,0)+IF(S44&gt;S45,1,0)+1)</f>
        <v>2</v>
      </c>
      <c r="S44" s="85">
        <f>IF(VLOOKUP(U44,J42:P45,7,FALSE)="",GMT_MIN,10-VLOOKUP(U44,J42:P45,7,FALSE))*10+T44</f>
        <v>3</v>
      </c>
      <c r="T44" s="85">
        <f>IF(AB44&gt;AB42,1,0)+IF(AB44&gt;AB43,1,0)+IF(AB44&gt;AB44,1,0)+IF(AB44&gt;AB45,1,0)+1</f>
        <v>3</v>
      </c>
      <c r="U44" s="16" t="str">
        <f>INDEX(T,25,language)</f>
        <v>Australia</v>
      </c>
      <c r="V44" s="35">
        <f>COUNTIF(AV7:AW54,CONCATENATE(U44,"_win"))</f>
        <v>1</v>
      </c>
      <c r="W44" s="35">
        <f>COUNTIF(AV7:AW54,CONCATENATE(U44,"_draw"))</f>
        <v>1</v>
      </c>
      <c r="X44" s="35">
        <f>COUNTIF(AV7:AW54,CONCATENATE(U44,"_lose"))</f>
        <v>1</v>
      </c>
      <c r="Y44" s="35">
        <f>SUMIF(AR7:AR54,CONCATENATE("=",U44),AS7:AS54)+SUMIF(AN7:AN54,CONCATENATE("=",U44),AO7:AO54)</f>
        <v>5</v>
      </c>
      <c r="Z44" s="35">
        <f>SUMIF(AT7:AT54,CONCATENATE("=",U44),AU7:AU54)+SUMIF(AP7:AP54,CONCATENATE("=",U44),AQ7:AQ54)</f>
        <v>5</v>
      </c>
      <c r="AA44" s="35">
        <f>V44*3+W44</f>
        <v>4</v>
      </c>
      <c r="AB44" s="35">
        <f>0.2+AK44+Y44*1000+(Y44-Z44)*100000+AA44*10000000</f>
        <v>40005000.200000003</v>
      </c>
      <c r="AC44" s="16">
        <f>IF(COUNTIF(AA42:AA45,CONCATENATE("=",AA44))=1,0,COUNTIF(AA42:AA45,CONCATENATE("=",AA44)))*AA44</f>
        <v>0</v>
      </c>
      <c r="AF44" s="35">
        <f>IF(AA44=AE42,1,0)</f>
        <v>0</v>
      </c>
      <c r="AG44" s="35">
        <f>COUNTIF(AX7:AY54,CONCATENATE(U44,"_win"))</f>
        <v>0</v>
      </c>
      <c r="AH44" s="35">
        <f>SUMIF(BD7:BD54,CONCATENATE("=",U44),BE7:BE54)+SUMIF(AZ7:AZ54,CONCATENATE("=",U44),BA7:BA54)</f>
        <v>0</v>
      </c>
      <c r="AI44" s="35">
        <f>SUMIF(BF7:BF54,CONCATENATE("=",U44),BG7:BG54)+SUMIF(BB7:BB54,CONCATENATE("=",U44),BC7:BC54)</f>
        <v>0</v>
      </c>
      <c r="AJ44" s="16">
        <f>300*AG44+(AH44-AI44)*10+AH44</f>
        <v>0</v>
      </c>
      <c r="AK44" s="16">
        <f>IF(AJ44&gt;0,AJ44,0)</f>
        <v>0</v>
      </c>
      <c r="AM44" s="16">
        <f>VLOOKUP(F44,U7:AF59,12,FALSE)+VLOOKUP(C44,U7:AF59,12,FALSE)</f>
        <v>1</v>
      </c>
      <c r="AN44" s="16" t="str">
        <f t="shared" si="0"/>
        <v>Portugal</v>
      </c>
      <c r="AO44" s="16">
        <f t="shared" si="1"/>
        <v>2</v>
      </c>
      <c r="AP44" s="16" t="str">
        <f t="shared" si="2"/>
        <v>Portugal</v>
      </c>
      <c r="AQ44" s="16">
        <f t="shared" si="3"/>
        <v>1</v>
      </c>
      <c r="AR44" s="16" t="str">
        <f t="shared" si="4"/>
        <v>Mexico</v>
      </c>
      <c r="AS44" s="16">
        <f t="shared" si="5"/>
        <v>1</v>
      </c>
      <c r="AT44" s="16" t="str">
        <f t="shared" si="6"/>
        <v>Mexico</v>
      </c>
      <c r="AU44" s="16">
        <f t="shared" si="7"/>
        <v>2</v>
      </c>
      <c r="AV44" s="16" t="str">
        <f t="shared" si="8"/>
        <v>Portugal_win</v>
      </c>
      <c r="AW44" s="16" t="str">
        <f t="shared" si="9"/>
        <v>Mexico_lose</v>
      </c>
      <c r="AX44" s="16" t="str">
        <f t="shared" si="10"/>
        <v/>
      </c>
      <c r="AY44" s="16" t="str">
        <f t="shared" si="11"/>
        <v/>
      </c>
      <c r="AZ44" s="16" t="str">
        <f t="shared" si="12"/>
        <v/>
      </c>
      <c r="BA44" s="16" t="str">
        <f t="shared" si="13"/>
        <v/>
      </c>
      <c r="BB44" s="16" t="str">
        <f t="shared" si="14"/>
        <v/>
      </c>
      <c r="BC44" s="49" t="str">
        <f t="shared" si="15"/>
        <v/>
      </c>
      <c r="BD44" s="49" t="str">
        <f t="shared" si="16"/>
        <v/>
      </c>
      <c r="BE44" s="49" t="str">
        <f t="shared" si="17"/>
        <v/>
      </c>
      <c r="BF44" s="49" t="str">
        <f t="shared" si="18"/>
        <v/>
      </c>
      <c r="BG44" s="49" t="str">
        <f t="shared" si="19"/>
        <v/>
      </c>
      <c r="BJ44" s="49" t="s">
        <v>77</v>
      </c>
      <c r="BK44" s="49">
        <v>38</v>
      </c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08" ht="13.5" customHeight="1">
      <c r="A45" s="21" t="str">
        <f>CONCATENATE(21+IF(GMT&gt;4,1,0)," ",INDEX(T,80,language))</f>
        <v>21 Jun</v>
      </c>
      <c r="B45" s="22">
        <f>TIME(19+GMT,GMT_MIN,0)</f>
        <v>0.875</v>
      </c>
      <c r="C45" s="51" t="str">
        <f>U22</f>
        <v>C�te d'Ivoire</v>
      </c>
      <c r="D45" s="15">
        <v>3</v>
      </c>
      <c r="E45" s="15">
        <v>2</v>
      </c>
      <c r="F45" s="53" t="str">
        <f>U23</f>
        <v>Serbia &amp; Montenegro</v>
      </c>
      <c r="J45" s="42" t="str">
        <f>VLOOKUP(1,T42:AA45,2,FALSE)</f>
        <v>Japan</v>
      </c>
      <c r="K45" s="43">
        <f>VLOOKUP(1,T42:AA45,3,FALSE)</f>
        <v>0</v>
      </c>
      <c r="L45" s="43">
        <f>VLOOKUP(1,T42:AA45,4,FALSE)</f>
        <v>1</v>
      </c>
      <c r="M45" s="43">
        <f>VLOOKUP(1,T42:AA45,5,FALSE)</f>
        <v>2</v>
      </c>
      <c r="N45" s="43" t="str">
        <f>CONCATENATE(VLOOKUP(1,T42:AA45,6,FALSE)," - ",VLOOKUP(1,T42:AA45,7,FALSE))</f>
        <v>2 - 5</v>
      </c>
      <c r="O45" s="43">
        <f>VLOOKUP(1,T42:AA45,8,FALSE)</f>
        <v>1</v>
      </c>
      <c r="P45" s="48"/>
      <c r="R45" s="85">
        <f>5-(IF(S45&gt;S42,1,0)+IF(S45&gt;S43,1,0)+IF(S45&gt;S44,1,0)+IF(S45&gt;S45,1,0)+1)</f>
        <v>4</v>
      </c>
      <c r="S45" s="85">
        <f>IF(VLOOKUP(U45,J42:P45,7,FALSE)="",GMT_MIN,10-VLOOKUP(U45,J42:P45,7,FALSE))*10+T45</f>
        <v>1</v>
      </c>
      <c r="T45" s="85">
        <f>IF(AB45&gt;AB42,1,0)+IF(AB45&gt;AB43,1,0)+IF(AB45&gt;AB44,1,0)+IF(AB45&gt;AB45,1,0)+1</f>
        <v>1</v>
      </c>
      <c r="U45" s="16" t="str">
        <f>INDEX(T,26,language)</f>
        <v>Japan</v>
      </c>
      <c r="V45" s="35">
        <f>COUNTIF(AV7:AW54,CONCATENATE(U45,"_win"))</f>
        <v>0</v>
      </c>
      <c r="W45" s="35">
        <f>COUNTIF(AV7:AW54,CONCATENATE(U45,"_draw"))</f>
        <v>1</v>
      </c>
      <c r="X45" s="35">
        <f>COUNTIF(AV7:AW54,CONCATENATE(U45,"_lose"))</f>
        <v>2</v>
      </c>
      <c r="Y45" s="35">
        <f>SUMIF(AR7:AR54,CONCATENATE("=",U45),AS7:AS54)+SUMIF(AN7:AN54,CONCATENATE("=",U45),AO7:AO54)</f>
        <v>2</v>
      </c>
      <c r="Z45" s="35">
        <f>SUMIF(AT7:AT54,CONCATENATE("=",U45),AU7:AU54)+SUMIF(AP7:AP54,CONCATENATE("=",U45),AQ7:AQ54)</f>
        <v>5</v>
      </c>
      <c r="AA45" s="35">
        <f>V45*3+W45</f>
        <v>1</v>
      </c>
      <c r="AB45" s="35">
        <f>0.1+AK45+Y45*1000+(Y45-Z45)*100000+AA45*10000000</f>
        <v>9702000.0999999996</v>
      </c>
      <c r="AC45" s="16">
        <f>IF(COUNTIF(AA42:AA45,CONCATENATE("=",AA45))=1,0,COUNTIF(AA42:AA45,CONCATENATE("=",AA45)))*AA45</f>
        <v>0</v>
      </c>
      <c r="AF45" s="35">
        <f>IF(AA45=AE42,1,0)</f>
        <v>0</v>
      </c>
      <c r="AG45" s="35">
        <f>COUNTIF(AX7:AY54,CONCATENATE(U45,"_win"))</f>
        <v>0</v>
      </c>
      <c r="AH45" s="35">
        <f>SUMIF(BD7:BD54,CONCATENATE("=",U45),BE7:BE54)+SUMIF(AZ7:AZ54,CONCATENATE("=",U45),BA7:BA54)</f>
        <v>0</v>
      </c>
      <c r="AI45" s="35">
        <f>SUMIF(BF7:BF54,CONCATENATE("=",U45),BG7:BG54)+SUMIF(BB7:BB54,CONCATENATE("=",U45),BC7:BC54)</f>
        <v>0</v>
      </c>
      <c r="AJ45" s="16">
        <f>300*AG45+(AH45-AI45)*10+AH45</f>
        <v>0</v>
      </c>
      <c r="AK45" s="16">
        <f>IF(AJ45&gt;0,AJ45,0)</f>
        <v>0</v>
      </c>
      <c r="AM45" s="16">
        <f>VLOOKUP(F45,U7:AF59,12,FALSE)+VLOOKUP(C45,U7:AF59,12,FALSE)</f>
        <v>0</v>
      </c>
      <c r="AN45" s="16" t="str">
        <f t="shared" si="0"/>
        <v>C�te d'Ivoire</v>
      </c>
      <c r="AO45" s="16">
        <f t="shared" si="1"/>
        <v>3</v>
      </c>
      <c r="AP45" s="16" t="str">
        <f t="shared" si="2"/>
        <v>C�te d'Ivoire</v>
      </c>
      <c r="AQ45" s="16">
        <f t="shared" si="3"/>
        <v>2</v>
      </c>
      <c r="AR45" s="16" t="str">
        <f t="shared" si="4"/>
        <v>Serbia &amp; Montenegro</v>
      </c>
      <c r="AS45" s="16">
        <f t="shared" si="5"/>
        <v>2</v>
      </c>
      <c r="AT45" s="16" t="str">
        <f t="shared" si="6"/>
        <v>Serbia &amp; Montenegro</v>
      </c>
      <c r="AU45" s="16">
        <f t="shared" si="7"/>
        <v>3</v>
      </c>
      <c r="AV45" s="16" t="str">
        <f t="shared" si="8"/>
        <v>C�te d'Ivoire_win</v>
      </c>
      <c r="AW45" s="16" t="str">
        <f t="shared" si="9"/>
        <v>Serbia &amp; Montenegro_lose</v>
      </c>
      <c r="AX45" s="16" t="str">
        <f t="shared" si="10"/>
        <v/>
      </c>
      <c r="AY45" s="16" t="str">
        <f t="shared" si="11"/>
        <v/>
      </c>
      <c r="AZ45" s="16" t="str">
        <f t="shared" si="12"/>
        <v/>
      </c>
      <c r="BA45" s="16" t="str">
        <f t="shared" si="13"/>
        <v/>
      </c>
      <c r="BB45" s="16" t="str">
        <f t="shared" si="14"/>
        <v/>
      </c>
      <c r="BC45" s="49" t="str">
        <f t="shared" si="15"/>
        <v/>
      </c>
      <c r="BD45" s="49" t="str">
        <f t="shared" si="16"/>
        <v/>
      </c>
      <c r="BE45" s="49" t="str">
        <f t="shared" si="17"/>
        <v/>
      </c>
      <c r="BF45" s="49" t="str">
        <f t="shared" si="18"/>
        <v/>
      </c>
      <c r="BG45" s="49" t="str">
        <f t="shared" si="19"/>
        <v/>
      </c>
      <c r="BJ45" s="49" t="s">
        <v>78</v>
      </c>
      <c r="BK45" s="49">
        <v>39</v>
      </c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108" ht="13.5" customHeight="1">
      <c r="A46" s="21" t="str">
        <f>CONCATENATE(21+IF(GMT&gt;4,1,0)," ",INDEX(T,80,language))</f>
        <v>21 Jun</v>
      </c>
      <c r="B46" s="22">
        <f>TIME(19+GMT,GMT_MIN,0)</f>
        <v>0.875</v>
      </c>
      <c r="C46" s="51" t="str">
        <f>U24</f>
        <v>Netherlands</v>
      </c>
      <c r="D46" s="15">
        <v>0</v>
      </c>
      <c r="E46" s="15">
        <v>0</v>
      </c>
      <c r="F46" s="53" t="str">
        <f>U21</f>
        <v>Argentina</v>
      </c>
      <c r="J46" s="44"/>
      <c r="K46" s="45"/>
      <c r="L46" s="45"/>
      <c r="M46" s="45"/>
      <c r="N46" s="45"/>
      <c r="O46" s="45"/>
      <c r="P46" s="45"/>
      <c r="AC46" s="16">
        <f>MAX(AC42:AC45)</f>
        <v>0</v>
      </c>
      <c r="AM46" s="16">
        <f>VLOOKUP(F46,U7:AF59,12,FALSE)+VLOOKUP(C46,U7:AF59,12,FALSE)</f>
        <v>2</v>
      </c>
      <c r="AN46" s="16" t="str">
        <f t="shared" si="0"/>
        <v>Netherlands</v>
      </c>
      <c r="AO46" s="16">
        <f t="shared" si="1"/>
        <v>0</v>
      </c>
      <c r="AP46" s="16" t="str">
        <f t="shared" si="2"/>
        <v>Netherlands</v>
      </c>
      <c r="AQ46" s="16">
        <f t="shared" si="3"/>
        <v>0</v>
      </c>
      <c r="AR46" s="16" t="str">
        <f t="shared" si="4"/>
        <v>Argentina</v>
      </c>
      <c r="AS46" s="16">
        <f t="shared" si="5"/>
        <v>0</v>
      </c>
      <c r="AT46" s="16" t="str">
        <f t="shared" si="6"/>
        <v>Argentina</v>
      </c>
      <c r="AU46" s="16">
        <f t="shared" si="7"/>
        <v>0</v>
      </c>
      <c r="AV46" s="16" t="str">
        <f t="shared" si="8"/>
        <v>Netherlands_draw</v>
      </c>
      <c r="AW46" s="16" t="str">
        <f t="shared" si="9"/>
        <v>Argentina_draw</v>
      </c>
      <c r="AX46" s="16" t="str">
        <f t="shared" si="10"/>
        <v>Netherlands_draw</v>
      </c>
      <c r="AY46" s="16" t="str">
        <f t="shared" si="11"/>
        <v>Argentina_draw</v>
      </c>
      <c r="AZ46" s="16" t="str">
        <f t="shared" si="12"/>
        <v>Netherlands</v>
      </c>
      <c r="BA46" s="16">
        <f t="shared" si="13"/>
        <v>0</v>
      </c>
      <c r="BB46" s="16" t="str">
        <f t="shared" si="14"/>
        <v>Netherlands</v>
      </c>
      <c r="BC46" s="49">
        <f t="shared" si="15"/>
        <v>0</v>
      </c>
      <c r="BD46" s="49" t="str">
        <f t="shared" si="16"/>
        <v>Argentina</v>
      </c>
      <c r="BE46" s="49">
        <f t="shared" si="17"/>
        <v>0</v>
      </c>
      <c r="BF46" s="49" t="str">
        <f t="shared" si="18"/>
        <v>Argentina</v>
      </c>
      <c r="BG46" s="49">
        <f t="shared" si="19"/>
        <v>0</v>
      </c>
      <c r="BJ46" s="49" t="s">
        <v>79</v>
      </c>
      <c r="BK46" s="49">
        <v>40</v>
      </c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</row>
    <row r="47" spans="1:108" ht="13.5" customHeight="1">
      <c r="A47" s="21" t="str">
        <f>CONCATENATE(22+IF(GMT&gt;9,1,0)," ",INDEX(T,80,language))</f>
        <v>22 Jun</v>
      </c>
      <c r="B47" s="22">
        <f>TIME(14+GMT,GMT_MIN,0)</f>
        <v>0.66666666666666663</v>
      </c>
      <c r="C47" s="51" t="str">
        <f>U36</f>
        <v>Ghana</v>
      </c>
      <c r="D47" s="15">
        <v>2</v>
      </c>
      <c r="E47" s="15">
        <v>1</v>
      </c>
      <c r="F47" s="53" t="str">
        <f>U37</f>
        <v>USA</v>
      </c>
      <c r="J47" s="74" t="str">
        <f>CONCATENATE(INDEX(T,40,language)," G")</f>
        <v>Group G</v>
      </c>
      <c r="K47" s="76" t="str">
        <f>INDEX(T,35,language)</f>
        <v>W</v>
      </c>
      <c r="L47" s="76" t="str">
        <f>INDEX(T,36,language)</f>
        <v>D</v>
      </c>
      <c r="M47" s="76" t="str">
        <f>INDEX(T,37,language)</f>
        <v>L</v>
      </c>
      <c r="N47" s="76" t="str">
        <f>INDEX(T,38,language)</f>
        <v>F - A</v>
      </c>
      <c r="O47" s="76" t="str">
        <f>INDEX(T,39,language)</f>
        <v>Pnt</v>
      </c>
      <c r="P47" s="60" t="s">
        <v>1</v>
      </c>
      <c r="AM47" s="16">
        <f>VLOOKUP(F47,U7:AF59,12,FALSE)+VLOOKUP(C47,U7:AF59,12,FALSE)</f>
        <v>0</v>
      </c>
      <c r="AN47" s="16" t="str">
        <f t="shared" si="0"/>
        <v>Ghana</v>
      </c>
      <c r="AO47" s="16">
        <f t="shared" si="1"/>
        <v>2</v>
      </c>
      <c r="AP47" s="16" t="str">
        <f t="shared" si="2"/>
        <v>Ghana</v>
      </c>
      <c r="AQ47" s="16">
        <f t="shared" si="3"/>
        <v>1</v>
      </c>
      <c r="AR47" s="16" t="str">
        <f t="shared" si="4"/>
        <v>USA</v>
      </c>
      <c r="AS47" s="16">
        <f t="shared" si="5"/>
        <v>1</v>
      </c>
      <c r="AT47" s="16" t="str">
        <f t="shared" si="6"/>
        <v>USA</v>
      </c>
      <c r="AU47" s="16">
        <f t="shared" si="7"/>
        <v>2</v>
      </c>
      <c r="AV47" s="16" t="str">
        <f t="shared" si="8"/>
        <v>Ghana_win</v>
      </c>
      <c r="AW47" s="16" t="str">
        <f t="shared" si="9"/>
        <v>USA_lose</v>
      </c>
      <c r="AX47" s="16" t="str">
        <f t="shared" si="10"/>
        <v/>
      </c>
      <c r="AY47" s="16" t="str">
        <f t="shared" si="11"/>
        <v/>
      </c>
      <c r="AZ47" s="16" t="str">
        <f t="shared" si="12"/>
        <v/>
      </c>
      <c r="BA47" s="16" t="str">
        <f t="shared" si="13"/>
        <v/>
      </c>
      <c r="BB47" s="16" t="str">
        <f t="shared" si="14"/>
        <v/>
      </c>
      <c r="BC47" s="49" t="str">
        <f t="shared" si="15"/>
        <v/>
      </c>
      <c r="BD47" s="49" t="str">
        <f t="shared" si="16"/>
        <v/>
      </c>
      <c r="BE47" s="49" t="str">
        <f t="shared" si="17"/>
        <v/>
      </c>
      <c r="BF47" s="49" t="str">
        <f t="shared" si="18"/>
        <v/>
      </c>
      <c r="BG47" s="49" t="str">
        <f t="shared" si="19"/>
        <v/>
      </c>
      <c r="BJ47" s="49" t="s">
        <v>80</v>
      </c>
      <c r="BK47" s="49">
        <v>41</v>
      </c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</row>
    <row r="48" spans="1:108" ht="13.5" customHeight="1">
      <c r="A48" s="21" t="str">
        <f>CONCATENATE(22+IF(GMT&gt;9,1,0)," ",INDEX(T,80,language))</f>
        <v>22 Jun</v>
      </c>
      <c r="B48" s="22">
        <f>TIME(14+GMT,GMT_MIN,0)</f>
        <v>0.66666666666666663</v>
      </c>
      <c r="C48" s="51" t="str">
        <f>U38</f>
        <v>Czech Republic</v>
      </c>
      <c r="D48" s="15">
        <v>0</v>
      </c>
      <c r="E48" s="15">
        <v>2</v>
      </c>
      <c r="F48" s="53" t="str">
        <f>U35</f>
        <v>Italy</v>
      </c>
      <c r="J48" s="75"/>
      <c r="K48" s="77"/>
      <c r="L48" s="77"/>
      <c r="M48" s="77"/>
      <c r="N48" s="77"/>
      <c r="O48" s="77"/>
      <c r="P48" s="61"/>
      <c r="AM48" s="16">
        <f>VLOOKUP(F48,U7:AF59,12,FALSE)+VLOOKUP(C48,U7:AF59,12,FALSE)</f>
        <v>1</v>
      </c>
      <c r="AN48" s="16" t="str">
        <f t="shared" si="0"/>
        <v>Czech Republic</v>
      </c>
      <c r="AO48" s="16">
        <f t="shared" si="1"/>
        <v>0</v>
      </c>
      <c r="AP48" s="16" t="str">
        <f t="shared" si="2"/>
        <v>Czech Republic</v>
      </c>
      <c r="AQ48" s="16">
        <f t="shared" si="3"/>
        <v>2</v>
      </c>
      <c r="AR48" s="16" t="str">
        <f t="shared" si="4"/>
        <v>Italy</v>
      </c>
      <c r="AS48" s="16">
        <f t="shared" si="5"/>
        <v>2</v>
      </c>
      <c r="AT48" s="16" t="str">
        <f t="shared" si="6"/>
        <v>Italy</v>
      </c>
      <c r="AU48" s="16">
        <f t="shared" si="7"/>
        <v>0</v>
      </c>
      <c r="AV48" s="16" t="str">
        <f t="shared" si="8"/>
        <v>Czech Republic_lose</v>
      </c>
      <c r="AW48" s="16" t="str">
        <f t="shared" si="9"/>
        <v>Italy_win</v>
      </c>
      <c r="AX48" s="16" t="str">
        <f t="shared" si="10"/>
        <v/>
      </c>
      <c r="AY48" s="16" t="str">
        <f t="shared" si="11"/>
        <v/>
      </c>
      <c r="AZ48" s="16" t="str">
        <f t="shared" si="12"/>
        <v/>
      </c>
      <c r="BA48" s="16" t="str">
        <f t="shared" si="13"/>
        <v/>
      </c>
      <c r="BB48" s="16" t="str">
        <f t="shared" si="14"/>
        <v/>
      </c>
      <c r="BC48" s="49" t="str">
        <f t="shared" si="15"/>
        <v/>
      </c>
      <c r="BD48" s="49" t="str">
        <f t="shared" si="16"/>
        <v/>
      </c>
      <c r="BE48" s="49" t="str">
        <f t="shared" si="17"/>
        <v/>
      </c>
      <c r="BF48" s="49" t="str">
        <f t="shared" si="18"/>
        <v/>
      </c>
      <c r="BG48" s="49" t="str">
        <f t="shared" si="19"/>
        <v/>
      </c>
      <c r="BJ48" s="49" t="s">
        <v>81</v>
      </c>
      <c r="BK48" s="49">
        <v>42</v>
      </c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</row>
    <row r="49" spans="1:108" ht="13.5" customHeight="1">
      <c r="A49" s="21" t="str">
        <f>CONCATENATE(22+IF(GMT&gt;4,1,0)," ",INDEX(T,80,language))</f>
        <v>22 Jun</v>
      </c>
      <c r="B49" s="22">
        <f>TIME(19+GMT,GMT_MIN,0)</f>
        <v>0.875</v>
      </c>
      <c r="C49" s="51" t="str">
        <f>U43</f>
        <v>Croatia</v>
      </c>
      <c r="D49" s="15">
        <v>2</v>
      </c>
      <c r="E49" s="15">
        <v>2</v>
      </c>
      <c r="F49" s="53" t="str">
        <f>U44</f>
        <v>Australia</v>
      </c>
      <c r="J49" s="38" t="str">
        <f>VLOOKUP(4,T49:AA52,2,FALSE)</f>
        <v>Switzerland</v>
      </c>
      <c r="K49" s="39">
        <f>VLOOKUP(4,T49:AA52,3,FALSE)</f>
        <v>2</v>
      </c>
      <c r="L49" s="39">
        <f>VLOOKUP(4,T49:AA52,4,FALSE)</f>
        <v>1</v>
      </c>
      <c r="M49" s="39">
        <f>VLOOKUP(4,T49:AA52,5,FALSE)</f>
        <v>0</v>
      </c>
      <c r="N49" s="39" t="str">
        <f>CONCATENATE(VLOOKUP(4,T49:AA52,6,FALSE)," - ",VLOOKUP(4,T49:AA52,7,FALSE))</f>
        <v>4 - 0</v>
      </c>
      <c r="O49" s="39">
        <f>VLOOKUP(4,T49:AA52,8,FALSE)</f>
        <v>7</v>
      </c>
      <c r="P49" s="46"/>
      <c r="R49" s="85">
        <f>5-(IF(S49&gt;S49,1,0)+IF(S49&gt;S50,1,0)+IF(S49&gt;S51,1,0)+IF(S49&gt;S52,1,0)+1)</f>
        <v>2</v>
      </c>
      <c r="S49" s="85">
        <f>IF(VLOOKUP(U49,J49:P52,7,FALSE)="",GMT_MIN,10-VLOOKUP(U49,J49:P52,7,FALSE))*10+T49</f>
        <v>3</v>
      </c>
      <c r="T49" s="85">
        <f>IF(AB49&gt;AB49,1,0)+IF(AB49&gt;AB50,1,0)+IF(AB49&gt;AB51,1,0)+IF(AB49&gt;AB52,1,0)+1</f>
        <v>3</v>
      </c>
      <c r="U49" s="16" t="str">
        <f>INDEX(T,27,language)</f>
        <v>France</v>
      </c>
      <c r="V49" s="35">
        <f>COUNTIF(AV7:AW54,CONCATENATE(U49,"_win"))</f>
        <v>1</v>
      </c>
      <c r="W49" s="35">
        <f>COUNTIF(AV7:AW54,CONCATENATE(U49,"_draw"))</f>
        <v>2</v>
      </c>
      <c r="X49" s="35">
        <f>COUNTIF(AV7:AW54,CONCATENATE(U49,"_lose"))</f>
        <v>0</v>
      </c>
      <c r="Y49" s="35">
        <f>SUMIF(AR7:AR54,CONCATENATE("=",U49),AS7:AS54)+SUMIF(AN7:AN54,CONCATENATE("=",U49),AO7:AO54)</f>
        <v>3</v>
      </c>
      <c r="Z49" s="35">
        <f>SUMIF(AT7:AT54,CONCATENATE("=",U49),AU7:AU54)+SUMIF(AP7:AP54,CONCATENATE("=",U49),AQ7:AQ54)</f>
        <v>1</v>
      </c>
      <c r="AA49" s="35">
        <f>V49*3+W49</f>
        <v>5</v>
      </c>
      <c r="AB49" s="35">
        <f>0.4+AK49+Y49*1000+(Y49-Z49)*100000+AA49*10000000</f>
        <v>50203000.399999999</v>
      </c>
      <c r="AC49" s="16">
        <f>IF(COUNTIF(AA49:AA52,CONCATENATE("=",AA49))=1,0,COUNTIF(AA49:AA52,CONCATENATE("=",AA49)))*AA49</f>
        <v>0</v>
      </c>
      <c r="AD49" s="16" t="str">
        <f>IF(SUM(V49:X52)=12,VLOOKUP(1,R49:U52,4,FALSE),INDEX(T,60,language))</f>
        <v>Switzerland</v>
      </c>
      <c r="AE49" s="35">
        <f>IF(AC49=AC53,AA49,IF(AC50=AC53,AA50,IF(AC51=AC53,AA51,AA52)))</f>
        <v>5</v>
      </c>
      <c r="AF49" s="35">
        <f>IF(AA49=AE49,1,0)</f>
        <v>1</v>
      </c>
      <c r="AG49" s="35">
        <f>COUNTIF(AX7:AY54,CONCATENATE(U49,"_win"))</f>
        <v>0</v>
      </c>
      <c r="AH49" s="35">
        <f>SUMIF(BD7:BD54,CONCATENATE("=",U49),BE7:BE54)+SUMIF(AZ7:AZ54,CONCATENATE("=",U49),BA7:BA54)</f>
        <v>0</v>
      </c>
      <c r="AI49" s="35">
        <f>SUMIF(BF7:BF54,CONCATENATE("=",U49),BG7:BG54)+SUMIF(BB7:BB54,CONCATENATE("=",U49),BC7:BC54)</f>
        <v>0</v>
      </c>
      <c r="AJ49" s="16">
        <f>300*AG49+(AH49-AI49)*10+AH49</f>
        <v>0</v>
      </c>
      <c r="AK49" s="16">
        <f>IF(AJ49&gt;0,AJ49,0)</f>
        <v>0</v>
      </c>
      <c r="AM49" s="16">
        <f>VLOOKUP(F49,U7:AF59,12,FALSE)+VLOOKUP(C49,U7:AF59,12,FALSE)</f>
        <v>0</v>
      </c>
      <c r="AN49" s="16" t="str">
        <f t="shared" si="0"/>
        <v>Croatia</v>
      </c>
      <c r="AO49" s="16">
        <f t="shared" si="1"/>
        <v>2</v>
      </c>
      <c r="AP49" s="16" t="str">
        <f t="shared" si="2"/>
        <v>Croatia</v>
      </c>
      <c r="AQ49" s="16">
        <f t="shared" si="3"/>
        <v>2</v>
      </c>
      <c r="AR49" s="16" t="str">
        <f t="shared" si="4"/>
        <v>Australia</v>
      </c>
      <c r="AS49" s="16">
        <f t="shared" si="5"/>
        <v>2</v>
      </c>
      <c r="AT49" s="16" t="str">
        <f t="shared" si="6"/>
        <v>Australia</v>
      </c>
      <c r="AU49" s="16">
        <f t="shared" si="7"/>
        <v>2</v>
      </c>
      <c r="AV49" s="16" t="str">
        <f t="shared" si="8"/>
        <v>Croatia_draw</v>
      </c>
      <c r="AW49" s="16" t="str">
        <f t="shared" si="9"/>
        <v>Australia_draw</v>
      </c>
      <c r="AX49" s="16" t="str">
        <f t="shared" si="10"/>
        <v/>
      </c>
      <c r="AY49" s="16" t="str">
        <f t="shared" si="11"/>
        <v/>
      </c>
      <c r="AZ49" s="16" t="str">
        <f t="shared" si="12"/>
        <v/>
      </c>
      <c r="BA49" s="16" t="str">
        <f t="shared" si="13"/>
        <v/>
      </c>
      <c r="BB49" s="16" t="str">
        <f t="shared" si="14"/>
        <v/>
      </c>
      <c r="BC49" s="49" t="str">
        <f t="shared" si="15"/>
        <v/>
      </c>
      <c r="BD49" s="49" t="str">
        <f t="shared" si="16"/>
        <v/>
      </c>
      <c r="BE49" s="49" t="str">
        <f t="shared" si="17"/>
        <v/>
      </c>
      <c r="BF49" s="49" t="str">
        <f t="shared" si="18"/>
        <v/>
      </c>
      <c r="BG49" s="49" t="str">
        <f t="shared" si="19"/>
        <v/>
      </c>
      <c r="BJ49" s="49" t="s">
        <v>82</v>
      </c>
      <c r="BK49" s="49">
        <v>43</v>
      </c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</row>
    <row r="50" spans="1:108" ht="13.5" customHeight="1">
      <c r="A50" s="21" t="str">
        <f>CONCATENATE(22+IF(GMT&gt;4,1,0)," ",INDEX(T,80,language))</f>
        <v>22 Jun</v>
      </c>
      <c r="B50" s="22">
        <f>TIME(19+GMT,GMT_MIN,0)</f>
        <v>0.875</v>
      </c>
      <c r="C50" s="51" t="str">
        <f>U45</f>
        <v>Japan</v>
      </c>
      <c r="D50" s="15">
        <v>1</v>
      </c>
      <c r="E50" s="15">
        <v>2</v>
      </c>
      <c r="F50" s="53" t="str">
        <f>U42</f>
        <v>Brazil</v>
      </c>
      <c r="J50" s="40" t="str">
        <f>VLOOKUP(3,T49:AA52,2,FALSE)</f>
        <v>France</v>
      </c>
      <c r="K50" s="41">
        <f>VLOOKUP(3,T49:AA52,3,FALSE)</f>
        <v>1</v>
      </c>
      <c r="L50" s="41">
        <f>VLOOKUP(3,T49:AA52,4,FALSE)</f>
        <v>2</v>
      </c>
      <c r="M50" s="41">
        <f>VLOOKUP(3,T49:AA52,5,FALSE)</f>
        <v>0</v>
      </c>
      <c r="N50" s="41" t="str">
        <f>CONCATENATE(VLOOKUP(3,T49:AA52,6,FALSE)," - ",VLOOKUP(3,T49:AA52,7,FALSE))</f>
        <v>3 - 1</v>
      </c>
      <c r="O50" s="41">
        <f>VLOOKUP(3,T49:AA52,8,FALSE)</f>
        <v>5</v>
      </c>
      <c r="P50" s="47"/>
      <c r="R50" s="85">
        <f>5-(IF(S50&gt;S49,1,0)+IF(S50&gt;S50,1,0)+IF(S50&gt;S51,1,0)+IF(S50&gt;S52,1,0)+1)</f>
        <v>1</v>
      </c>
      <c r="S50" s="85">
        <f>IF(VLOOKUP(U50,J49:P52,7,FALSE)="",GMT_MIN,10-VLOOKUP(U50,J49:P52,7,FALSE))*10+T50</f>
        <v>4</v>
      </c>
      <c r="T50" s="85">
        <f>IF(AB50&gt;AB49,1,0)+IF(AB50&gt;AB50,1,0)+IF(AB50&gt;AB51,1,0)+IF(AB50&gt;AB52,1,0)+1</f>
        <v>4</v>
      </c>
      <c r="U50" s="16" t="str">
        <f>INDEX(T,28,language)</f>
        <v>Switzerland</v>
      </c>
      <c r="V50" s="35">
        <f>COUNTIF(AV7:AW54,CONCATENATE(U50,"_win"))</f>
        <v>2</v>
      </c>
      <c r="W50" s="35">
        <f>COUNTIF(AV7:AW54,CONCATENATE(U50,"_draw"))</f>
        <v>1</v>
      </c>
      <c r="X50" s="35">
        <f>COUNTIF(AV7:AW54,CONCATENATE(U50,"_lose"))</f>
        <v>0</v>
      </c>
      <c r="Y50" s="35">
        <f>SUMIF(AR7:AR54,CONCATENATE("=",U50),AS7:AS54)+SUMIF(AN7:AN54,CONCATENATE("=",U50),AO7:AO54)</f>
        <v>4</v>
      </c>
      <c r="Z50" s="35">
        <f>SUMIF(AT7:AT54,CONCATENATE("=",U50),AU7:AU54)+SUMIF(AP7:AP54,CONCATENATE("=",U50),AQ7:AQ54)</f>
        <v>0</v>
      </c>
      <c r="AA50" s="35">
        <f>V50*3+W50</f>
        <v>7</v>
      </c>
      <c r="AB50" s="35">
        <f>0.3+AK50+Y50*1000+(Y50-Z50)*100000+AA50*10000000</f>
        <v>70404000.299999997</v>
      </c>
      <c r="AC50" s="16">
        <f>IF(COUNTIF(AA49:AA52,CONCATENATE("=",AA50))=1,0,COUNTIF(AA49:AA52,CONCATENATE("=",AA50)))*AA50</f>
        <v>0</v>
      </c>
      <c r="AD50" s="16" t="str">
        <f>IF(SUM(V49:X52)=12,VLOOKUP(2,R49:U52,4,FALSE),INDEX(T,61,language))</f>
        <v>France</v>
      </c>
      <c r="AF50" s="35">
        <f>IF(AA50=AE49,1,0)</f>
        <v>0</v>
      </c>
      <c r="AG50" s="35">
        <f>COUNTIF(AX7:AY54,CONCATENATE(U50,"_win"))</f>
        <v>0</v>
      </c>
      <c r="AH50" s="35">
        <f>SUMIF(BD7:BD54,CONCATENATE("=",U50),BE7:BE54)+SUMIF(AZ7:AZ54,CONCATENATE("=",U50),BA7:BA54)</f>
        <v>0</v>
      </c>
      <c r="AI50" s="35">
        <f>SUMIF(BF7:BF54,CONCATENATE("=",U50),BG7:BG54)+SUMIF(BB7:BB54,CONCATENATE("=",U50),BC7:BC54)</f>
        <v>0</v>
      </c>
      <c r="AJ50" s="16">
        <f>300*AG50+(AH50-AI50)*10+AH50</f>
        <v>0</v>
      </c>
      <c r="AK50" s="16">
        <f>IF(AJ50&gt;0,AJ50,0)</f>
        <v>0</v>
      </c>
      <c r="AM50" s="16">
        <f>VLOOKUP(F50,U7:AF59,12,FALSE)+VLOOKUP(C50,U7:AF59,12,FALSE)</f>
        <v>1</v>
      </c>
      <c r="AN50" s="16" t="str">
        <f t="shared" si="0"/>
        <v>Japan</v>
      </c>
      <c r="AO50" s="16">
        <f t="shared" si="1"/>
        <v>1</v>
      </c>
      <c r="AP50" s="16" t="str">
        <f t="shared" si="2"/>
        <v>Japan</v>
      </c>
      <c r="AQ50" s="16">
        <f t="shared" si="3"/>
        <v>2</v>
      </c>
      <c r="AR50" s="16" t="str">
        <f t="shared" si="4"/>
        <v>Brazil</v>
      </c>
      <c r="AS50" s="16">
        <f t="shared" si="5"/>
        <v>2</v>
      </c>
      <c r="AT50" s="16" t="str">
        <f t="shared" si="6"/>
        <v>Brazil</v>
      </c>
      <c r="AU50" s="16">
        <f t="shared" si="7"/>
        <v>1</v>
      </c>
      <c r="AV50" s="16" t="str">
        <f t="shared" si="8"/>
        <v>Japan_lose</v>
      </c>
      <c r="AW50" s="16" t="str">
        <f t="shared" si="9"/>
        <v>Brazil_win</v>
      </c>
      <c r="AX50" s="16" t="str">
        <f t="shared" si="10"/>
        <v/>
      </c>
      <c r="AY50" s="16" t="str">
        <f t="shared" si="11"/>
        <v/>
      </c>
      <c r="AZ50" s="16" t="str">
        <f t="shared" si="12"/>
        <v/>
      </c>
      <c r="BA50" s="16" t="str">
        <f t="shared" si="13"/>
        <v/>
      </c>
      <c r="BB50" s="16" t="str">
        <f t="shared" si="14"/>
        <v/>
      </c>
      <c r="BC50" s="49" t="str">
        <f t="shared" si="15"/>
        <v/>
      </c>
      <c r="BD50" s="49" t="str">
        <f t="shared" si="16"/>
        <v/>
      </c>
      <c r="BE50" s="49" t="str">
        <f t="shared" si="17"/>
        <v/>
      </c>
      <c r="BF50" s="49" t="str">
        <f t="shared" si="18"/>
        <v/>
      </c>
      <c r="BG50" s="49" t="str">
        <f t="shared" si="19"/>
        <v/>
      </c>
      <c r="BJ50" s="49" t="s">
        <v>83</v>
      </c>
      <c r="BK50" s="49">
        <v>44</v>
      </c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</row>
    <row r="51" spans="1:108" ht="13.5" customHeight="1">
      <c r="A51" s="21" t="str">
        <f>CONCATENATE(23+IF(GMT&gt;9,1,0)," ",INDEX(T,80,language))</f>
        <v>23 Jun</v>
      </c>
      <c r="B51" s="22">
        <f>TIME(14+GMT,GMT_MIN,0)</f>
        <v>0.66666666666666663</v>
      </c>
      <c r="C51" s="51" t="str">
        <f>U57</f>
        <v>Ukraine</v>
      </c>
      <c r="D51" s="15">
        <v>1</v>
      </c>
      <c r="E51" s="15">
        <v>0</v>
      </c>
      <c r="F51" s="53" t="str">
        <f>U58</f>
        <v>Tunisia</v>
      </c>
      <c r="J51" s="40" t="str">
        <f>VLOOKUP(2,T49:AA52,2,FALSE)</f>
        <v>South Korea</v>
      </c>
      <c r="K51" s="41">
        <f>VLOOKUP(2,T49:AA52,3,FALSE)</f>
        <v>1</v>
      </c>
      <c r="L51" s="41">
        <f>VLOOKUP(2,T49:AA52,4,FALSE)</f>
        <v>1</v>
      </c>
      <c r="M51" s="41">
        <f>VLOOKUP(2,T49:AA52,5,FALSE)</f>
        <v>1</v>
      </c>
      <c r="N51" s="41" t="str">
        <f>CONCATENATE(VLOOKUP(2,T49:AA52,6,FALSE)," - ",VLOOKUP(2,T49:AA52,7,FALSE))</f>
        <v>3 - 4</v>
      </c>
      <c r="O51" s="41">
        <f>VLOOKUP(2,T49:AA52,8,FALSE)</f>
        <v>4</v>
      </c>
      <c r="P51" s="47"/>
      <c r="R51" s="85">
        <f>5-(IF(S51&gt;S49,1,0)+IF(S51&gt;S50,1,0)+IF(S51&gt;S51,1,0)+IF(S51&gt;S52,1,0)+1)</f>
        <v>3</v>
      </c>
      <c r="S51" s="85">
        <f>IF(VLOOKUP(U51,J49:P52,7,FALSE)="",GMT_MIN,10-VLOOKUP(U51,J49:P52,7,FALSE))*10+T51</f>
        <v>2</v>
      </c>
      <c r="T51" s="85">
        <f>IF(AB51&gt;AB49,1,0)+IF(AB51&gt;AB50,1,0)+IF(AB51&gt;AB51,1,0)+IF(AB51&gt;AB52,1,0)+1</f>
        <v>2</v>
      </c>
      <c r="U51" s="16" t="str">
        <f>INDEX(T,29,language)</f>
        <v>South Korea</v>
      </c>
      <c r="V51" s="35">
        <f>COUNTIF(AV7:AW54,CONCATENATE(U51,"_win"))</f>
        <v>1</v>
      </c>
      <c r="W51" s="35">
        <f>COUNTIF(AV7:AW54,CONCATENATE(U51,"_draw"))</f>
        <v>1</v>
      </c>
      <c r="X51" s="35">
        <f>COUNTIF(AV7:AW54,CONCATENATE(U51,"_lose"))</f>
        <v>1</v>
      </c>
      <c r="Y51" s="35">
        <f>SUMIF(AR7:AR54,CONCATENATE("=",U51),AS7:AS54)+SUMIF(AN7:AN54,CONCATENATE("=",U51),AO7:AO54)</f>
        <v>3</v>
      </c>
      <c r="Z51" s="35">
        <f>SUMIF(AT7:AT54,CONCATENATE("=",U51),AU7:AU54)+SUMIF(AP7:AP54,CONCATENATE("=",U51),AQ7:AQ54)</f>
        <v>4</v>
      </c>
      <c r="AA51" s="35">
        <f>V51*3+W51</f>
        <v>4</v>
      </c>
      <c r="AB51" s="35">
        <f>0.2+AK51+Y51*1000+(Y51-Z51)*100000+AA51*10000000</f>
        <v>39903000.200000003</v>
      </c>
      <c r="AC51" s="16">
        <f>IF(COUNTIF(AA49:AA52,CONCATENATE("=",AA51))=1,0,COUNTIF(AA49:AA52,CONCATENATE("=",AA51)))*AA51</f>
        <v>0</v>
      </c>
      <c r="AF51" s="35">
        <f>IF(AA51=AE49,1,0)</f>
        <v>0</v>
      </c>
      <c r="AG51" s="35">
        <f>COUNTIF(AX7:AY54,CONCATENATE(U51,"_win"))</f>
        <v>0</v>
      </c>
      <c r="AH51" s="35">
        <f>SUMIF(BD7:BD54,CONCATENATE("=",U51),BE7:BE54)+SUMIF(AZ7:AZ54,CONCATENATE("=",U51),BA7:BA54)</f>
        <v>0</v>
      </c>
      <c r="AI51" s="35">
        <f>SUMIF(BF7:BF54,CONCATENATE("=",U51),BG7:BG54)+SUMIF(BB7:BB54,CONCATENATE("=",U51),BC7:BC54)</f>
        <v>0</v>
      </c>
      <c r="AJ51" s="16">
        <f>300*AG51+(AH51-AI51)*10+AH51</f>
        <v>0</v>
      </c>
      <c r="AK51" s="16">
        <f>IF(AJ51&gt;0,AJ51,0)</f>
        <v>0</v>
      </c>
      <c r="AM51" s="16">
        <f>VLOOKUP(F51,U7:AF59,12,FALSE)+VLOOKUP(C51,U7:AF59,12,FALSE)</f>
        <v>1</v>
      </c>
      <c r="AN51" s="16" t="str">
        <f t="shared" si="0"/>
        <v>Ukraine</v>
      </c>
      <c r="AO51" s="16">
        <f t="shared" si="1"/>
        <v>1</v>
      </c>
      <c r="AP51" s="16" t="str">
        <f t="shared" si="2"/>
        <v>Ukraine</v>
      </c>
      <c r="AQ51" s="16">
        <f t="shared" si="3"/>
        <v>0</v>
      </c>
      <c r="AR51" s="16" t="str">
        <f t="shared" si="4"/>
        <v>Tunisia</v>
      </c>
      <c r="AS51" s="16">
        <f t="shared" si="5"/>
        <v>0</v>
      </c>
      <c r="AT51" s="16" t="str">
        <f t="shared" si="6"/>
        <v>Tunisia</v>
      </c>
      <c r="AU51" s="16">
        <f t="shared" si="7"/>
        <v>1</v>
      </c>
      <c r="AV51" s="16" t="str">
        <f t="shared" si="8"/>
        <v>Ukraine_win</v>
      </c>
      <c r="AW51" s="16" t="str">
        <f t="shared" si="9"/>
        <v>Tunisia_lose</v>
      </c>
      <c r="AX51" s="16" t="str">
        <f t="shared" si="10"/>
        <v/>
      </c>
      <c r="AY51" s="16" t="str">
        <f t="shared" si="11"/>
        <v/>
      </c>
      <c r="AZ51" s="16" t="str">
        <f t="shared" si="12"/>
        <v/>
      </c>
      <c r="BA51" s="16" t="str">
        <f t="shared" si="13"/>
        <v/>
      </c>
      <c r="BB51" s="16" t="str">
        <f t="shared" si="14"/>
        <v/>
      </c>
      <c r="BC51" s="49" t="str">
        <f t="shared" si="15"/>
        <v/>
      </c>
      <c r="BD51" s="49" t="str">
        <f t="shared" si="16"/>
        <v/>
      </c>
      <c r="BE51" s="49" t="str">
        <f t="shared" si="17"/>
        <v/>
      </c>
      <c r="BF51" s="49" t="str">
        <f t="shared" si="18"/>
        <v/>
      </c>
      <c r="BG51" s="49" t="str">
        <f t="shared" si="19"/>
        <v/>
      </c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08" ht="13.5" customHeight="1">
      <c r="A52" s="21" t="str">
        <f>CONCATENATE(23+IF(GMT&gt;9,1,0)," ",INDEX(T,80,language))</f>
        <v>23 Jun</v>
      </c>
      <c r="B52" s="22">
        <f>TIME(14+GMT,GMT_MIN,0)</f>
        <v>0.66666666666666663</v>
      </c>
      <c r="C52" s="51" t="str">
        <f>U59</f>
        <v>Saudi Arabia</v>
      </c>
      <c r="D52" s="15">
        <v>0</v>
      </c>
      <c r="E52" s="15">
        <v>1</v>
      </c>
      <c r="F52" s="53" t="str">
        <f>U56</f>
        <v>Spain</v>
      </c>
      <c r="J52" s="42" t="str">
        <f>VLOOKUP(1,T49:AA52,2,FALSE)</f>
        <v>Togo</v>
      </c>
      <c r="K52" s="43">
        <f>VLOOKUP(1,T49:AA52,3,FALSE)</f>
        <v>0</v>
      </c>
      <c r="L52" s="43">
        <f>VLOOKUP(1,T49:AA52,4,FALSE)</f>
        <v>0</v>
      </c>
      <c r="M52" s="43">
        <f>VLOOKUP(1,T49:AA52,5,FALSE)</f>
        <v>3</v>
      </c>
      <c r="N52" s="43" t="str">
        <f>CONCATENATE(VLOOKUP(1,T49:AA52,6,FALSE)," - ",VLOOKUP(1,T49:AA52,7,FALSE))</f>
        <v>1 - 6</v>
      </c>
      <c r="O52" s="43">
        <f>VLOOKUP(1,T49:AA52,8,FALSE)</f>
        <v>0</v>
      </c>
      <c r="P52" s="48"/>
      <c r="R52" s="85">
        <f>5-(IF(S52&gt;S49,1,0)+IF(S52&gt;S50,1,0)+IF(S52&gt;S51,1,0)+IF(S52&gt;S52,1,0)+1)</f>
        <v>4</v>
      </c>
      <c r="S52" s="85">
        <f>IF(VLOOKUP(U52,J49:P52,7,FALSE)="",GMT_MIN,10-VLOOKUP(U52,J49:P52,7,FALSE))*10+T52</f>
        <v>1</v>
      </c>
      <c r="T52" s="85">
        <f>IF(AB52&gt;AB49,1,0)+IF(AB52&gt;AB50,1,0)+IF(AB52&gt;AB51,1,0)+IF(AB52&gt;AB52,1,0)+1</f>
        <v>1</v>
      </c>
      <c r="U52" s="16" t="str">
        <f>INDEX(T,30,language)</f>
        <v>Togo</v>
      </c>
      <c r="V52" s="35">
        <f>COUNTIF(AV7:AW54,CONCATENATE(U52,"_win"))</f>
        <v>0</v>
      </c>
      <c r="W52" s="35">
        <f>COUNTIF(AV7:AW54,CONCATENATE(U52,"_draw"))</f>
        <v>0</v>
      </c>
      <c r="X52" s="35">
        <f>COUNTIF(AV7:AW54,CONCATENATE(U52,"_lose"))</f>
        <v>3</v>
      </c>
      <c r="Y52" s="35">
        <f>SUMIF(AR7:AR54,CONCATENATE("=",U52),AS7:AS54)+SUMIF(AN7:AN54,CONCATENATE("=",U52),AO7:AO54)</f>
        <v>1</v>
      </c>
      <c r="Z52" s="35">
        <f>SUMIF(AT7:AT54,CONCATENATE("=",U52),AU7:AU54)+SUMIF(AP7:AP54,CONCATENATE("=",U52),AQ7:AQ54)</f>
        <v>6</v>
      </c>
      <c r="AA52" s="35">
        <f>V52*3+W52</f>
        <v>0</v>
      </c>
      <c r="AB52" s="35">
        <f>0.1+AK52+Y52*1000+(Y52-Z52)*100000+AA52*10000000</f>
        <v>-498999.9</v>
      </c>
      <c r="AC52" s="16">
        <f>IF(COUNTIF(AA49:AA52,CONCATENATE("=",AA52))=1,0,COUNTIF(AA49:AA52,CONCATENATE("=",AA52)))*AA52</f>
        <v>0</v>
      </c>
      <c r="AF52" s="35">
        <f>IF(AA52=AE49,1,0)</f>
        <v>0</v>
      </c>
      <c r="AG52" s="35">
        <f>COUNTIF(AX7:AY54,CONCATENATE(U52,"_win"))</f>
        <v>0</v>
      </c>
      <c r="AH52" s="35">
        <f>SUMIF(BD7:BD54,CONCATENATE("=",U52),BE7:BE54)+SUMIF(AZ7:AZ54,CONCATENATE("=",U52),BA7:BA54)</f>
        <v>0</v>
      </c>
      <c r="AI52" s="35">
        <f>SUMIF(BF7:BF54,CONCATENATE("=",U52),BG7:BG54)+SUMIF(BB7:BB54,CONCATENATE("=",U52),BC7:BC54)</f>
        <v>0</v>
      </c>
      <c r="AJ52" s="16">
        <f>300*AG52+(AH52-AI52)*10+AH52</f>
        <v>0</v>
      </c>
      <c r="AK52" s="16">
        <f>IF(AJ52&gt;0,AJ52,0)</f>
        <v>0</v>
      </c>
      <c r="AM52" s="16">
        <f>VLOOKUP(F52,U7:AF59,12,FALSE)+VLOOKUP(C52,U7:AF59,12,FALSE)</f>
        <v>1</v>
      </c>
      <c r="AN52" s="16" t="str">
        <f t="shared" si="0"/>
        <v>Saudi Arabia</v>
      </c>
      <c r="AO52" s="16">
        <f t="shared" si="1"/>
        <v>0</v>
      </c>
      <c r="AP52" s="16" t="str">
        <f t="shared" si="2"/>
        <v>Saudi Arabia</v>
      </c>
      <c r="AQ52" s="16">
        <f t="shared" si="3"/>
        <v>1</v>
      </c>
      <c r="AR52" s="16" t="str">
        <f t="shared" si="4"/>
        <v>Spain</v>
      </c>
      <c r="AS52" s="16">
        <f t="shared" si="5"/>
        <v>1</v>
      </c>
      <c r="AT52" s="16" t="str">
        <f t="shared" si="6"/>
        <v>Spain</v>
      </c>
      <c r="AU52" s="16">
        <f t="shared" si="7"/>
        <v>0</v>
      </c>
      <c r="AV52" s="16" t="str">
        <f t="shared" si="8"/>
        <v>Saudi Arabia_lose</v>
      </c>
      <c r="AW52" s="16" t="str">
        <f t="shared" si="9"/>
        <v>Spain_win</v>
      </c>
      <c r="AX52" s="16" t="str">
        <f t="shared" si="10"/>
        <v/>
      </c>
      <c r="AY52" s="16" t="str">
        <f t="shared" si="11"/>
        <v/>
      </c>
      <c r="AZ52" s="16" t="str">
        <f t="shared" si="12"/>
        <v/>
      </c>
      <c r="BA52" s="16" t="str">
        <f t="shared" si="13"/>
        <v/>
      </c>
      <c r="BB52" s="16" t="str">
        <f t="shared" si="14"/>
        <v/>
      </c>
      <c r="BC52" s="49" t="str">
        <f t="shared" si="15"/>
        <v/>
      </c>
      <c r="BD52" s="49" t="str">
        <f t="shared" si="16"/>
        <v/>
      </c>
      <c r="BE52" s="49" t="str">
        <f t="shared" si="17"/>
        <v/>
      </c>
      <c r="BF52" s="49" t="str">
        <f t="shared" si="18"/>
        <v/>
      </c>
      <c r="BG52" s="49" t="str">
        <f t="shared" si="19"/>
        <v/>
      </c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3.5" customHeight="1">
      <c r="A53" s="21" t="str">
        <f>CONCATENATE(23+IF(GMT&gt;4,1,0)," ",INDEX(T,80,language))</f>
        <v>23 Jun</v>
      </c>
      <c r="B53" s="22">
        <f>TIME(19+GMT,GMT_MIN,0)</f>
        <v>0.875</v>
      </c>
      <c r="C53" s="51" t="str">
        <f>U50</f>
        <v>Switzerland</v>
      </c>
      <c r="D53" s="15">
        <v>2</v>
      </c>
      <c r="E53" s="15">
        <v>0</v>
      </c>
      <c r="F53" s="53" t="str">
        <f>U51</f>
        <v>South Korea</v>
      </c>
      <c r="J53" s="44"/>
      <c r="K53" s="45"/>
      <c r="L53" s="45"/>
      <c r="M53" s="45"/>
      <c r="N53" s="45"/>
      <c r="O53" s="45"/>
      <c r="P53" s="45"/>
      <c r="AC53" s="16">
        <f>MAX(AC49:AC52)</f>
        <v>0</v>
      </c>
      <c r="AM53" s="16">
        <f>VLOOKUP(F53,U7:AF59,12,FALSE)+VLOOKUP(C53,U7:AF59,12,FALSE)</f>
        <v>0</v>
      </c>
      <c r="AN53" s="16" t="str">
        <f t="shared" si="0"/>
        <v>Switzerland</v>
      </c>
      <c r="AO53" s="16">
        <f t="shared" si="1"/>
        <v>2</v>
      </c>
      <c r="AP53" s="16" t="str">
        <f t="shared" si="2"/>
        <v>Switzerland</v>
      </c>
      <c r="AQ53" s="16">
        <f t="shared" si="3"/>
        <v>0</v>
      </c>
      <c r="AR53" s="16" t="str">
        <f t="shared" si="4"/>
        <v>South Korea</v>
      </c>
      <c r="AS53" s="16">
        <f t="shared" si="5"/>
        <v>0</v>
      </c>
      <c r="AT53" s="16" t="str">
        <f t="shared" si="6"/>
        <v>South Korea</v>
      </c>
      <c r="AU53" s="16">
        <f t="shared" si="7"/>
        <v>2</v>
      </c>
      <c r="AV53" s="16" t="str">
        <f t="shared" si="8"/>
        <v>Switzerland_win</v>
      </c>
      <c r="AW53" s="16" t="str">
        <f t="shared" si="9"/>
        <v>South Korea_lose</v>
      </c>
      <c r="AX53" s="16" t="str">
        <f t="shared" si="10"/>
        <v/>
      </c>
      <c r="AY53" s="16" t="str">
        <f t="shared" si="11"/>
        <v/>
      </c>
      <c r="AZ53" s="16" t="str">
        <f t="shared" si="12"/>
        <v/>
      </c>
      <c r="BA53" s="16" t="str">
        <f t="shared" si="13"/>
        <v/>
      </c>
      <c r="BB53" s="16" t="str">
        <f t="shared" si="14"/>
        <v/>
      </c>
      <c r="BC53" s="49" t="str">
        <f t="shared" si="15"/>
        <v/>
      </c>
      <c r="BD53" s="49" t="str">
        <f t="shared" si="16"/>
        <v/>
      </c>
      <c r="BE53" s="49" t="str">
        <f t="shared" si="17"/>
        <v/>
      </c>
      <c r="BF53" s="49" t="str">
        <f t="shared" si="18"/>
        <v/>
      </c>
      <c r="BG53" s="49" t="str">
        <f t="shared" si="19"/>
        <v/>
      </c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3.5" customHeight="1">
      <c r="A54" s="21" t="str">
        <f>CONCATENATE(23+IF(GMT&gt;4,1,0)," ",INDEX(T,80,language))</f>
        <v>23 Jun</v>
      </c>
      <c r="B54" s="22">
        <f>TIME(19+GMT,GMT_MIN,0)</f>
        <v>0.875</v>
      </c>
      <c r="C54" s="51" t="str">
        <f>U52</f>
        <v>Togo</v>
      </c>
      <c r="D54" s="15">
        <v>0</v>
      </c>
      <c r="E54" s="15">
        <v>2</v>
      </c>
      <c r="F54" s="53" t="str">
        <f>U49</f>
        <v>France</v>
      </c>
      <c r="J54" s="70" t="str">
        <f>CONCATENATE(INDEX(T,40,language)," H")</f>
        <v>Group H</v>
      </c>
      <c r="K54" s="72" t="str">
        <f>INDEX(T,35,language)</f>
        <v>W</v>
      </c>
      <c r="L54" s="72" t="str">
        <f>INDEX(T,36,language)</f>
        <v>D</v>
      </c>
      <c r="M54" s="72" t="str">
        <f>INDEX(T,37,language)</f>
        <v>L</v>
      </c>
      <c r="N54" s="72" t="str">
        <f>INDEX(T,38,language)</f>
        <v>F - A</v>
      </c>
      <c r="O54" s="72" t="str">
        <f>INDEX(T,39,language)</f>
        <v>Pnt</v>
      </c>
      <c r="P54" s="1" t="s">
        <v>1</v>
      </c>
      <c r="AM54" s="16">
        <f>VLOOKUP(F54,U7:AF59,12,FALSE)+VLOOKUP(C54,U7:AF59,12,FALSE)</f>
        <v>1</v>
      </c>
      <c r="AN54" s="16" t="str">
        <f t="shared" si="0"/>
        <v>Togo</v>
      </c>
      <c r="AO54" s="16">
        <f t="shared" si="1"/>
        <v>0</v>
      </c>
      <c r="AP54" s="16" t="str">
        <f t="shared" si="2"/>
        <v>Togo</v>
      </c>
      <c r="AQ54" s="16">
        <f t="shared" si="3"/>
        <v>2</v>
      </c>
      <c r="AR54" s="16" t="str">
        <f t="shared" si="4"/>
        <v>France</v>
      </c>
      <c r="AS54" s="16">
        <f t="shared" si="5"/>
        <v>2</v>
      </c>
      <c r="AT54" s="16" t="str">
        <f t="shared" si="6"/>
        <v>France</v>
      </c>
      <c r="AU54" s="16">
        <f t="shared" si="7"/>
        <v>0</v>
      </c>
      <c r="AV54" s="16" t="str">
        <f t="shared" si="8"/>
        <v>Togo_lose</v>
      </c>
      <c r="AW54" s="16" t="str">
        <f t="shared" si="9"/>
        <v>France_win</v>
      </c>
      <c r="AX54" s="16" t="str">
        <f t="shared" si="10"/>
        <v/>
      </c>
      <c r="AY54" s="16" t="str">
        <f t="shared" si="11"/>
        <v/>
      </c>
      <c r="AZ54" s="16" t="str">
        <f t="shared" si="12"/>
        <v/>
      </c>
      <c r="BA54" s="16" t="str">
        <f t="shared" si="13"/>
        <v/>
      </c>
      <c r="BB54" s="16" t="str">
        <f t="shared" si="14"/>
        <v/>
      </c>
      <c r="BC54" s="49" t="str">
        <f t="shared" si="15"/>
        <v/>
      </c>
      <c r="BD54" s="49" t="str">
        <f t="shared" si="16"/>
        <v/>
      </c>
      <c r="BE54" s="49" t="str">
        <f t="shared" si="17"/>
        <v/>
      </c>
      <c r="BF54" s="49" t="str">
        <f t="shared" si="18"/>
        <v/>
      </c>
      <c r="BG54" s="49" t="str">
        <f t="shared" si="19"/>
        <v/>
      </c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3.5" customHeight="1">
      <c r="A55" s="10"/>
      <c r="B55" s="5"/>
      <c r="C55" s="56"/>
      <c r="D55" s="3"/>
      <c r="E55" s="3"/>
      <c r="F55" s="58"/>
      <c r="J55" s="71"/>
      <c r="K55" s="73"/>
      <c r="L55" s="73"/>
      <c r="M55" s="73"/>
      <c r="N55" s="73"/>
      <c r="O55" s="73"/>
      <c r="P55" s="59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3.5" customHeight="1">
      <c r="A56" s="62" t="str">
        <f>INDEX(T,42,language)</f>
        <v>Second Round</v>
      </c>
      <c r="B56" s="63"/>
      <c r="C56" s="63"/>
      <c r="D56" s="63"/>
      <c r="E56" s="63"/>
      <c r="F56" s="63"/>
      <c r="G56" s="63"/>
      <c r="H56" s="64"/>
      <c r="J56" s="38" t="str">
        <f>VLOOKUP(4,T56:AA59,2,FALSE)</f>
        <v>Spain</v>
      </c>
      <c r="K56" s="39">
        <f>VLOOKUP(4,T56:AA59,3,FALSE)</f>
        <v>3</v>
      </c>
      <c r="L56" s="39">
        <f>VLOOKUP(4,T56:AA59,4,FALSE)</f>
        <v>0</v>
      </c>
      <c r="M56" s="39">
        <f>VLOOKUP(4,T56:AA59,5,FALSE)</f>
        <v>0</v>
      </c>
      <c r="N56" s="39" t="str">
        <f>CONCATENATE(VLOOKUP(4,T56:AA59,6,FALSE)," - ",VLOOKUP(4,T56:AA59,7,FALSE))</f>
        <v>8 - 1</v>
      </c>
      <c r="O56" s="39">
        <f>VLOOKUP(4,T56:AA59,8,FALSE)</f>
        <v>9</v>
      </c>
      <c r="P56" s="46"/>
      <c r="R56" s="85">
        <f>5-(IF(S56&gt;S56,1,0)+IF(S56&gt;S57,1,0)+IF(S56&gt;S58,1,0)+IF(S56&gt;S59,1,0)+1)</f>
        <v>1</v>
      </c>
      <c r="S56" s="85">
        <f>IF(VLOOKUP(U56,J56:P59,7,FALSE)="",GMT_MIN,10-VLOOKUP(U56,J56:P59,7,FALSE))*10+T56</f>
        <v>4</v>
      </c>
      <c r="T56" s="85">
        <f>IF(AB56&gt;AB56,1,0)+IF(AB56&gt;AB57,1,0)+IF(AB56&gt;AB58,1,0)+IF(AB56&gt;AB59,1,0)+1</f>
        <v>4</v>
      </c>
      <c r="U56" s="16" t="str">
        <f>INDEX(T,31,language)</f>
        <v>Spain</v>
      </c>
      <c r="V56" s="35">
        <f>COUNTIF(AV7:AW54,CONCATENATE(U56,"_win"))</f>
        <v>3</v>
      </c>
      <c r="W56" s="35">
        <f>COUNTIF(AV7:AW54,CONCATENATE(U56,"_draw"))</f>
        <v>0</v>
      </c>
      <c r="X56" s="35">
        <f>COUNTIF(AV7:AW54,CONCATENATE(U56,"_lose"))</f>
        <v>0</v>
      </c>
      <c r="Y56" s="35">
        <f>SUMIF(AR7:AR54,CONCATENATE("=",U56),AS7:AS54)+SUMIF(AN7:AN54,CONCATENATE("=",U56),AO7:AO54)</f>
        <v>8</v>
      </c>
      <c r="Z56" s="35">
        <f>SUMIF(AT7:AT54,CONCATENATE("=",U56),AU7:AU54)+SUMIF(AP7:AP54,CONCATENATE("=",U56),AQ7:AQ54)</f>
        <v>1</v>
      </c>
      <c r="AA56" s="35">
        <f>V56*3+W56</f>
        <v>9</v>
      </c>
      <c r="AB56" s="35">
        <f>0.4+AK56+Y56*1000+(Y56-Z56)*100000+AA56*10000000</f>
        <v>90708000.400000006</v>
      </c>
      <c r="AC56" s="16">
        <f>IF(COUNTIF(AA56:AA59,CONCATENATE("=",AA56))=1,0,COUNTIF(AA56:AA59,CONCATENATE("=",AA56)))*AA56</f>
        <v>0</v>
      </c>
      <c r="AD56" s="16" t="str">
        <f>IF(SUM(V56:X59)=12,VLOOKUP(1,R56:U59,4,FALSE),INDEX(T,62,language))</f>
        <v>Spain</v>
      </c>
      <c r="AE56" s="35">
        <f>IF(AC56=AC60,AA56,IF(AC57=AC60,AA57,IF(AC58=AC60,AA58,AA59)))</f>
        <v>1</v>
      </c>
      <c r="AF56" s="35">
        <f>IF(AA56=AE56,1,0)</f>
        <v>0</v>
      </c>
      <c r="AG56" s="35">
        <f>COUNTIF(AX7:AY54,CONCATENATE(U56,"_win"))</f>
        <v>0</v>
      </c>
      <c r="AH56" s="35">
        <f>SUMIF(BD7:BD54,CONCATENATE("=",U56),BE7:BE54)+SUMIF(AZ7:AZ54,CONCATENATE("=",U56),BA7:BA54)</f>
        <v>0</v>
      </c>
      <c r="AI56" s="35">
        <f>SUMIF(BF7:BF54,CONCATENATE("=",U56),BG7:BG54)+SUMIF(BB7:BB54,CONCATENATE("=",U56),BC7:BC54)</f>
        <v>0</v>
      </c>
      <c r="AJ56" s="16">
        <f>300*AG56+(AH56-AI56)*10+AH56</f>
        <v>0</v>
      </c>
      <c r="AK56" s="16">
        <f>IF(AJ56&gt;0,AJ56,0)</f>
        <v>0</v>
      </c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ht="13.5" customHeight="1">
      <c r="A57" s="65"/>
      <c r="B57" s="66"/>
      <c r="C57" s="66"/>
      <c r="D57" s="66"/>
      <c r="E57" s="66"/>
      <c r="F57" s="66"/>
      <c r="G57" s="66"/>
      <c r="H57" s="67"/>
      <c r="J57" s="40" t="str">
        <f>VLOOKUP(3,T56:AA59,2,FALSE)</f>
        <v>Ukraine</v>
      </c>
      <c r="K57" s="41">
        <f>VLOOKUP(3,T56:AA59,3,FALSE)</f>
        <v>2</v>
      </c>
      <c r="L57" s="41">
        <f>VLOOKUP(3,T56:AA59,4,FALSE)</f>
        <v>0</v>
      </c>
      <c r="M57" s="41">
        <f>VLOOKUP(3,T56:AA59,5,FALSE)</f>
        <v>1</v>
      </c>
      <c r="N57" s="41" t="str">
        <f>CONCATENATE(VLOOKUP(3,T56:AA59,6,FALSE)," - ",VLOOKUP(3,T56:AA59,7,FALSE))</f>
        <v>5 - 4</v>
      </c>
      <c r="O57" s="41">
        <f>VLOOKUP(3,T56:AA59,8,FALSE)</f>
        <v>6</v>
      </c>
      <c r="P57" s="47"/>
      <c r="R57" s="85">
        <f>5-(IF(S57&gt;S56,1,0)+IF(S57&gt;S57,1,0)+IF(S57&gt;S58,1,0)+IF(S57&gt;S59,1,0)+1)</f>
        <v>2</v>
      </c>
      <c r="S57" s="85">
        <f>IF(VLOOKUP(U57,J56:P59,7,FALSE)="",GMT_MIN,10-VLOOKUP(U57,J56:P59,7,FALSE))*10+T57</f>
        <v>3</v>
      </c>
      <c r="T57" s="85">
        <f>IF(AB57&gt;AB56,1,0)+IF(AB57&gt;AB57,1,0)+IF(AB57&gt;AB58,1,0)+IF(AB57&gt;AB59,1,0)+1</f>
        <v>3</v>
      </c>
      <c r="U57" s="16" t="str">
        <f>INDEX(T,32,language)</f>
        <v>Ukraine</v>
      </c>
      <c r="V57" s="35">
        <f>COUNTIF(AV7:AW54,CONCATENATE(U57,"_win"))</f>
        <v>2</v>
      </c>
      <c r="W57" s="35">
        <f>COUNTIF(AV7:AW54,CONCATENATE(U57,"_draw"))</f>
        <v>0</v>
      </c>
      <c r="X57" s="35">
        <f>COUNTIF(AV7:AW54,CONCATENATE(U57,"_lose"))</f>
        <v>1</v>
      </c>
      <c r="Y57" s="35">
        <f>SUMIF(AR7:AR54,CONCATENATE("=",U57),AS7:AS54)+SUMIF(AN7:AN54,CONCATENATE("=",U57),AO7:AO54)</f>
        <v>5</v>
      </c>
      <c r="Z57" s="35">
        <f>SUMIF(AT7:AT54,CONCATENATE("=",U57),AU7:AU54)+SUMIF(AP7:AP54,CONCATENATE("=",U57),AQ7:AQ54)</f>
        <v>4</v>
      </c>
      <c r="AA57" s="35">
        <f>V57*3+W57</f>
        <v>6</v>
      </c>
      <c r="AB57" s="35">
        <f>0.3+AK57+Y57*1000+(Y57-Z57)*100000+AA57*10000000</f>
        <v>60105000.299999997</v>
      </c>
      <c r="AC57" s="16">
        <f>IF(COUNTIF(AA56:AA59,CONCATENATE("=",AA57))=1,0,COUNTIF(AA56:AA59,CONCATENATE("=",AA57)))*AA57</f>
        <v>0</v>
      </c>
      <c r="AD57" s="16" t="str">
        <f>IF(SUM(V56:X59)=12,VLOOKUP(2,R56:U59,4,FALSE),INDEX(T,63,language))</f>
        <v>Ukraine</v>
      </c>
      <c r="AF57" s="35">
        <f>IF(AA57=AE56,1,0)</f>
        <v>0</v>
      </c>
      <c r="AG57" s="35">
        <f>COUNTIF(AX7:AY54,CONCATENATE(U57,"_win"))</f>
        <v>0</v>
      </c>
      <c r="AH57" s="35">
        <f>SUMIF(BD7:BD54,CONCATENATE("=",U57),BE7:BE54)+SUMIF(AZ7:AZ54,CONCATENATE("=",U57),BA7:BA54)</f>
        <v>0</v>
      </c>
      <c r="AI57" s="35">
        <f>SUMIF(BF7:BF54,CONCATENATE("=",U57),BG7:BG54)+SUMIF(BB7:BB54,CONCATENATE("=",U57),BC7:BC54)</f>
        <v>0</v>
      </c>
      <c r="AJ57" s="16">
        <f>300*AG57+(AH57-AI57)*10+AH57</f>
        <v>0</v>
      </c>
      <c r="AK57" s="16">
        <f>IF(AJ57&gt;0,AJ57,0)</f>
        <v>0</v>
      </c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ht="13.5" customHeight="1">
      <c r="A58" s="25" t="str">
        <f>CONCATENATE(24+IF(GMT&gt;8,1,0)," ",INDEX(T,80,language))</f>
        <v>24 Jun</v>
      </c>
      <c r="B58" s="22">
        <f>TIME(15+GMT,GMT_MIN,0)</f>
        <v>0.70833333333333337</v>
      </c>
      <c r="C58" s="20" t="str">
        <f>AD7</f>
        <v>Germany</v>
      </c>
      <c r="D58" s="7">
        <v>2</v>
      </c>
      <c r="E58" s="7">
        <v>0</v>
      </c>
      <c r="F58" s="19" t="str">
        <f>AD15</f>
        <v>Sweden</v>
      </c>
      <c r="G58" s="7"/>
      <c r="H58" s="7"/>
      <c r="J58" s="40" t="str">
        <f>VLOOKUP(2,T56:AA59,2,FALSE)</f>
        <v>Tunisia</v>
      </c>
      <c r="K58" s="41">
        <f>VLOOKUP(2,T56:AA59,3,FALSE)</f>
        <v>0</v>
      </c>
      <c r="L58" s="41">
        <f>VLOOKUP(2,T56:AA59,4,FALSE)</f>
        <v>1</v>
      </c>
      <c r="M58" s="41">
        <f>VLOOKUP(2,T56:AA59,5,FALSE)</f>
        <v>2</v>
      </c>
      <c r="N58" s="41" t="str">
        <f>CONCATENATE(VLOOKUP(2,T56:AA59,6,FALSE)," - ",VLOOKUP(2,T56:AA59,7,FALSE))</f>
        <v>3 - 6</v>
      </c>
      <c r="O58" s="41">
        <f>VLOOKUP(2,T56:AA59,8,FALSE)</f>
        <v>1</v>
      </c>
      <c r="P58" s="47"/>
      <c r="R58" s="85">
        <f>5-(IF(S58&gt;S56,1,0)+IF(S58&gt;S57,1,0)+IF(S58&gt;S58,1,0)+IF(S58&gt;S59,1,0)+1)</f>
        <v>3</v>
      </c>
      <c r="S58" s="85">
        <f>IF(VLOOKUP(U58,J56:P59,7,FALSE)="",GMT_MIN,10-VLOOKUP(U58,J56:P59,7,FALSE))*10+T58</f>
        <v>2</v>
      </c>
      <c r="T58" s="85">
        <f>IF(AB58&gt;AB56,1,0)+IF(AB58&gt;AB57,1,0)+IF(AB58&gt;AB58,1,0)+IF(AB58&gt;AB59,1,0)+1</f>
        <v>2</v>
      </c>
      <c r="U58" s="16" t="str">
        <f>INDEX(T,33,language)</f>
        <v>Tunisia</v>
      </c>
      <c r="V58" s="35">
        <f>COUNTIF(AV7:AW54,CONCATENATE(U58,"_win"))</f>
        <v>0</v>
      </c>
      <c r="W58" s="35">
        <f>COUNTIF(AV7:AW54,CONCATENATE(U58,"_draw"))</f>
        <v>1</v>
      </c>
      <c r="X58" s="35">
        <f>COUNTIF(AV7:AW54,CONCATENATE(U58,"_lose"))</f>
        <v>2</v>
      </c>
      <c r="Y58" s="35">
        <f>SUMIF(AR7:AR54,CONCATENATE("=",U58),AS7:AS54)+SUMIF(AN7:AN54,CONCATENATE("=",U58),AO7:AO54)</f>
        <v>3</v>
      </c>
      <c r="Z58" s="35">
        <f>SUMIF(AT7:AT54,CONCATENATE("=",U58),AU7:AU54)+SUMIF(AP7:AP54,CONCATENATE("=",U58),AQ7:AQ54)</f>
        <v>6</v>
      </c>
      <c r="AA58" s="35">
        <f>V58*3+W58</f>
        <v>1</v>
      </c>
      <c r="AB58" s="35">
        <f>0.2+AK58+Y58*1000+(Y58-Z58)*100000+AA58*10000000</f>
        <v>9703002.1999999993</v>
      </c>
      <c r="AC58" s="16">
        <f>IF(COUNTIF(AA56:AA59,CONCATENATE("=",AA58))=1,0,COUNTIF(AA56:AA59,CONCATENATE("=",AA58)))*AA58</f>
        <v>2</v>
      </c>
      <c r="AF58" s="35">
        <f>IF(AA58=AE56,1,0)</f>
        <v>1</v>
      </c>
      <c r="AG58" s="35">
        <f>COUNTIF(AX7:AY54,CONCATENATE(U58,"_win"))</f>
        <v>0</v>
      </c>
      <c r="AH58" s="35">
        <f>SUMIF(BD7:BD54,CONCATENATE("=",U58),BE7:BE54)+SUMIF(AZ7:AZ54,CONCATENATE("=",U58),BA7:BA54)</f>
        <v>2</v>
      </c>
      <c r="AI58" s="35">
        <f>SUMIF(BF7:BF54,CONCATENATE("=",U58),BG7:BG54)+SUMIF(BB7:BB54,CONCATENATE("=",U58),BC7:BC54)</f>
        <v>2</v>
      </c>
      <c r="AJ58" s="16">
        <f>300*AG58+(AH58-AI58)*10+AH58</f>
        <v>2</v>
      </c>
      <c r="AK58" s="16">
        <f>IF(AJ58&gt;0,AJ58,0)</f>
        <v>2</v>
      </c>
      <c r="AN58" s="16" t="str">
        <f>IF(AO58="",INDEX(T,64,language),AO58)</f>
        <v>Germany</v>
      </c>
      <c r="AO58" s="16" t="str">
        <f t="shared" ref="AO58:AO65" si="20">IF(D58="","",IF(E58="","",IF(D58&gt;E58,C58,IF(D58&lt;E58,F58,AP58))))</f>
        <v>Germany</v>
      </c>
      <c r="AP58" s="16" t="str">
        <f>IF(G58="","",IF(H58="","",IF(G58&gt;H58,C58,IF(G58&lt;H58,F58,""))))</f>
        <v/>
      </c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ht="13.5" customHeight="1">
      <c r="A59" s="25" t="str">
        <f>CONCATENATE(24+IF(GMT&gt;4,1,0)," ",INDEX(T,80,language))</f>
        <v>24 Jun</v>
      </c>
      <c r="B59" s="22">
        <f>TIME(19+GMT,GMT_MIN,0)</f>
        <v>0.875</v>
      </c>
      <c r="C59" s="20" t="str">
        <f>AD21</f>
        <v>Argentina</v>
      </c>
      <c r="D59" s="7">
        <v>2</v>
      </c>
      <c r="E59" s="7">
        <v>1</v>
      </c>
      <c r="F59" s="19" t="str">
        <f>AD29</f>
        <v>Mexico</v>
      </c>
      <c r="G59" s="7"/>
      <c r="H59" s="7"/>
      <c r="J59" s="42" t="str">
        <f>VLOOKUP(1,T56:AA59,2,FALSE)</f>
        <v>Saudi Arabia</v>
      </c>
      <c r="K59" s="43">
        <f>VLOOKUP(1,T56:AA59,3,FALSE)</f>
        <v>0</v>
      </c>
      <c r="L59" s="43">
        <f>VLOOKUP(1,T56:AA59,4,FALSE)</f>
        <v>1</v>
      </c>
      <c r="M59" s="43">
        <f>VLOOKUP(1,T56:AA59,5,FALSE)</f>
        <v>2</v>
      </c>
      <c r="N59" s="43" t="str">
        <f>CONCATENATE(VLOOKUP(1,T56:AA59,6,FALSE)," - ",VLOOKUP(1,T56:AA59,7,FALSE))</f>
        <v>2 - 7</v>
      </c>
      <c r="O59" s="43">
        <f>VLOOKUP(1,T56:AA59,8,FALSE)</f>
        <v>1</v>
      </c>
      <c r="P59" s="48"/>
      <c r="R59" s="85">
        <f>5-(IF(S59&gt;S56,1,0)+IF(S59&gt;S57,1,0)+IF(S59&gt;S58,1,0)+IF(S59&gt;S59,1,0)+1)</f>
        <v>4</v>
      </c>
      <c r="S59" s="85">
        <f>IF(VLOOKUP(U59,J56:P59,7,FALSE)="",GMT_MIN,10-VLOOKUP(U59,J56:P59,7,FALSE))*10+T59</f>
        <v>1</v>
      </c>
      <c r="T59" s="85">
        <f>IF(AB59&gt;AB56,1,0)+IF(AB59&gt;AB57,1,0)+IF(AB59&gt;AB58,1,0)+IF(AB59&gt;AB59,1,0)+1</f>
        <v>1</v>
      </c>
      <c r="U59" s="16" t="str">
        <f>INDEX(T,34,language)</f>
        <v>Saudi Arabia</v>
      </c>
      <c r="V59" s="35">
        <f>COUNTIF(AV7:AW54,CONCATENATE(U59,"_win"))</f>
        <v>0</v>
      </c>
      <c r="W59" s="35">
        <f>COUNTIF(AV7:AW54,CONCATENATE(U59,"_draw"))</f>
        <v>1</v>
      </c>
      <c r="X59" s="35">
        <f>COUNTIF(AV7:AW54,CONCATENATE(U59,"_lose"))</f>
        <v>2</v>
      </c>
      <c r="Y59" s="35">
        <f>SUMIF(AR7:AR54,CONCATENATE("=",U59),AS7:AS54)+SUMIF(AN7:AN54,CONCATENATE("=",U59),AO7:AO54)</f>
        <v>2</v>
      </c>
      <c r="Z59" s="35">
        <f>SUMIF(AT7:AT54,CONCATENATE("=",U59),AU7:AU54)+SUMIF(AP7:AP54,CONCATENATE("=",U59),AQ7:AQ54)</f>
        <v>7</v>
      </c>
      <c r="AA59" s="35">
        <f>V59*3+W59</f>
        <v>1</v>
      </c>
      <c r="AB59" s="35">
        <f>0.1+AK59+Y59*1000+(Y59-Z59)*100000+AA59*10000000</f>
        <v>9502002.0999999996</v>
      </c>
      <c r="AC59" s="16">
        <f>IF(COUNTIF(AA56:AA59,CONCATENATE("=",AA59))=1,0,COUNTIF(AA56:AA59,CONCATENATE("=",AA59)))*AA59</f>
        <v>2</v>
      </c>
      <c r="AF59" s="35">
        <f>IF(AA59=AE56,1,0)</f>
        <v>1</v>
      </c>
      <c r="AG59" s="35">
        <f>COUNTIF(AX7:AY54,CONCATENATE(U59,"_win"))</f>
        <v>0</v>
      </c>
      <c r="AH59" s="35">
        <f>SUMIF(BD7:BD54,CONCATENATE("=",U59),BE7:BE54)+SUMIF(AZ7:AZ54,CONCATENATE("=",U59),BA7:BA54)</f>
        <v>2</v>
      </c>
      <c r="AI59" s="35">
        <f>SUMIF(BF7:BF54,CONCATENATE("=",U59),BG7:BG54)+SUMIF(BB7:BB54,CONCATENATE("=",U59),BC7:BC54)</f>
        <v>2</v>
      </c>
      <c r="AJ59" s="16">
        <f>300*AG59+(AH59-AI59)*10+AH59</f>
        <v>2</v>
      </c>
      <c r="AK59" s="16">
        <f>IF(AJ59&gt;0,AJ59,0)</f>
        <v>2</v>
      </c>
      <c r="AN59" s="16" t="str">
        <f>IF(AO59="",INDEX(T,65,language),AO59)</f>
        <v>Argentina</v>
      </c>
      <c r="AO59" s="16" t="str">
        <f t="shared" si="20"/>
        <v>Argentina</v>
      </c>
      <c r="AP59" s="16" t="str">
        <f t="shared" ref="AP59:AP65" si="21">IF(G59="","",IF(H59="","",IF(G59&gt;H59,C59,IF(G59&lt;H59,F59,""))))</f>
        <v/>
      </c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ht="13.5" customHeight="1">
      <c r="A60" s="25" t="str">
        <f>CONCATENATE(25+IF(GMT&gt;8,1,0)," ",INDEX(T,80,language))</f>
        <v>25 Jun</v>
      </c>
      <c r="B60" s="22">
        <f>TIME(15+GMT,GMT_MIN,0)</f>
        <v>0.70833333333333337</v>
      </c>
      <c r="C60" s="20" t="str">
        <f>AD14</f>
        <v>England</v>
      </c>
      <c r="D60" s="7">
        <v>1</v>
      </c>
      <c r="E60" s="7">
        <v>0</v>
      </c>
      <c r="F60" s="19" t="str">
        <f>AD8</f>
        <v>Ecuador</v>
      </c>
      <c r="G60" s="7"/>
      <c r="H60" s="7"/>
      <c r="AC60" s="16">
        <f>MAX(AC56:AC59)</f>
        <v>2</v>
      </c>
      <c r="AN60" s="16" t="str">
        <f>IF(AO60="",INDEX(T,66,language),AO60)</f>
        <v>England</v>
      </c>
      <c r="AO60" s="16" t="str">
        <f t="shared" si="20"/>
        <v>England</v>
      </c>
      <c r="AP60" s="16" t="str">
        <f t="shared" si="21"/>
        <v/>
      </c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ht="13.5" customHeight="1">
      <c r="A61" s="25" t="str">
        <f>CONCATENATE(25+IF(GMT&gt;4,1,0)," ",INDEX(T,80,language))</f>
        <v>25 Jun</v>
      </c>
      <c r="B61" s="22">
        <f>TIME(19+GMT,GMT_MIN,0)</f>
        <v>0.875</v>
      </c>
      <c r="C61" s="20" t="str">
        <f>AD28</f>
        <v>Portugal</v>
      </c>
      <c r="D61" s="7">
        <v>1</v>
      </c>
      <c r="E61" s="7">
        <v>0</v>
      </c>
      <c r="F61" s="19" t="str">
        <f>AD22</f>
        <v>Netherlands</v>
      </c>
      <c r="G61" s="7"/>
      <c r="H61" s="7"/>
      <c r="AN61" s="16" t="str">
        <f>IF(AO61="",INDEX(T,67,language),AO61)</f>
        <v>Portugal</v>
      </c>
      <c r="AO61" s="16" t="str">
        <f t="shared" si="20"/>
        <v>Portugal</v>
      </c>
      <c r="AP61" s="16" t="str">
        <f t="shared" si="21"/>
        <v/>
      </c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ht="13.5" customHeight="1">
      <c r="A62" s="25" t="str">
        <f>CONCATENATE(26+IF(GMT&gt;8,1,0)," ",INDEX(T,80,language))</f>
        <v>26 Jun</v>
      </c>
      <c r="B62" s="22">
        <f>TIME(15+GMT,GMT_MIN,0)</f>
        <v>0.70833333333333337</v>
      </c>
      <c r="C62" s="20" t="str">
        <f>AD35</f>
        <v>Italy</v>
      </c>
      <c r="D62" s="7">
        <v>1</v>
      </c>
      <c r="E62" s="7">
        <v>0</v>
      </c>
      <c r="F62" s="19" t="str">
        <f>AD43</f>
        <v>Australia</v>
      </c>
      <c r="G62" s="7"/>
      <c r="H62" s="7"/>
      <c r="AN62" s="16" t="str">
        <f>IF(AO62="",INDEX(T,68,language),AO62)</f>
        <v>Italy</v>
      </c>
      <c r="AO62" s="16" t="str">
        <f t="shared" si="20"/>
        <v>Italy</v>
      </c>
      <c r="AP62" s="16" t="str">
        <f t="shared" si="21"/>
        <v/>
      </c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ht="13.5" customHeight="1">
      <c r="A63" s="25" t="str">
        <f>CONCATENATE(26+IF(GMT&gt;4,1,0)," ",INDEX(T,80,language))</f>
        <v>26 Jun</v>
      </c>
      <c r="B63" s="22">
        <f>TIME(19+GMT,GMT_MIN,0)</f>
        <v>0.875</v>
      </c>
      <c r="C63" s="20" t="str">
        <f>AD49</f>
        <v>Switzerland</v>
      </c>
      <c r="D63" s="7">
        <v>0</v>
      </c>
      <c r="E63" s="7">
        <v>0</v>
      </c>
      <c r="F63" s="19" t="str">
        <f>AD57</f>
        <v>Ukraine</v>
      </c>
      <c r="G63" s="7">
        <v>0</v>
      </c>
      <c r="H63" s="7">
        <v>3</v>
      </c>
      <c r="AN63" s="16" t="str">
        <f>IF(AO63="",INDEX(T,69,language),AO63)</f>
        <v>Ukraine</v>
      </c>
      <c r="AO63" s="16" t="str">
        <f t="shared" si="20"/>
        <v>Ukraine</v>
      </c>
      <c r="AP63" s="16" t="str">
        <f t="shared" si="21"/>
        <v>Ukraine</v>
      </c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ht="13.5" customHeight="1">
      <c r="A64" s="25" t="str">
        <f>CONCATENATE(27+IF(GMT&gt;8,1,0)," ",INDEX(T,80,language))</f>
        <v>27 Jun</v>
      </c>
      <c r="B64" s="22">
        <f>TIME(15+GMT,GMT_MIN,0)</f>
        <v>0.70833333333333337</v>
      </c>
      <c r="C64" s="20" t="str">
        <f>AD42</f>
        <v>Brazil</v>
      </c>
      <c r="D64" s="7">
        <v>3</v>
      </c>
      <c r="E64" s="7">
        <v>0</v>
      </c>
      <c r="F64" s="19" t="str">
        <f>AD36</f>
        <v>Ghana</v>
      </c>
      <c r="G64" s="7"/>
      <c r="H64" s="7"/>
      <c r="AN64" s="16" t="str">
        <f>IF(AO64="",INDEX(T,70,language),AO64)</f>
        <v>Brazil</v>
      </c>
      <c r="AO64" s="16" t="str">
        <f t="shared" si="20"/>
        <v>Brazil</v>
      </c>
      <c r="AP64" s="16" t="str">
        <f t="shared" si="21"/>
        <v/>
      </c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ht="13.5" customHeight="1">
      <c r="A65" s="25" t="str">
        <f>CONCATENATE(27+IF(GMT&gt;4,1,0)," ",INDEX(T,80,language))</f>
        <v>27 Jun</v>
      </c>
      <c r="B65" s="22">
        <f>TIME(19+GMT,GMT_MIN,0)</f>
        <v>0.875</v>
      </c>
      <c r="C65" s="20" t="str">
        <f>AD56</f>
        <v>Spain</v>
      </c>
      <c r="D65" s="7">
        <v>1</v>
      </c>
      <c r="E65" s="7">
        <v>3</v>
      </c>
      <c r="F65" s="19" t="str">
        <f>AD50</f>
        <v>France</v>
      </c>
      <c r="G65" s="7"/>
      <c r="H65" s="7"/>
      <c r="AN65" s="16" t="str">
        <f>IF(AO65="",INDEX(T,71,language),AO65)</f>
        <v>France</v>
      </c>
      <c r="AO65" s="16" t="str">
        <f t="shared" si="20"/>
        <v>France</v>
      </c>
      <c r="AP65" s="16" t="str">
        <f t="shared" si="21"/>
        <v/>
      </c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ht="13.5" customHeight="1"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ht="13.5" customHeight="1">
      <c r="A67" s="62" t="str">
        <f>INDEX(T,43,language)</f>
        <v>Quarter Finals</v>
      </c>
      <c r="B67" s="63"/>
      <c r="C67" s="63"/>
      <c r="D67" s="63"/>
      <c r="E67" s="63"/>
      <c r="F67" s="63"/>
      <c r="G67" s="63"/>
      <c r="H67" s="64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ht="13.5" customHeight="1">
      <c r="A68" s="65"/>
      <c r="B68" s="66"/>
      <c r="C68" s="66"/>
      <c r="D68" s="66"/>
      <c r="E68" s="66"/>
      <c r="F68" s="66"/>
      <c r="G68" s="66"/>
      <c r="H68" s="67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ht="13.5" customHeight="1">
      <c r="A69" s="25" t="str">
        <f>CONCATENATE(IF(GMT&gt;8,1,30)," ",IF(GMT&gt;8,INDEX(T,81,language),INDEX(T,80,language)))</f>
        <v>30 Jun</v>
      </c>
      <c r="B69" s="22">
        <f>TIME(15+GMT,GMT_MIN,0)</f>
        <v>0.70833333333333337</v>
      </c>
      <c r="C69" s="20" t="str">
        <f>AN58</f>
        <v>Germany</v>
      </c>
      <c r="D69" s="7">
        <v>1</v>
      </c>
      <c r="E69" s="7">
        <v>1</v>
      </c>
      <c r="F69" s="19" t="str">
        <f>AN59</f>
        <v>Argentina</v>
      </c>
      <c r="G69" s="7">
        <v>4</v>
      </c>
      <c r="H69" s="7">
        <v>2</v>
      </c>
      <c r="AN69" s="16" t="str">
        <f>IF(AO69="",INDEX(T,72,language),AO69)</f>
        <v>Germany</v>
      </c>
      <c r="AO69" s="16" t="str">
        <f>IF(D69="","",IF(E69="","",IF(D69&gt;E69,C69,IF(D69&lt;E69,F69,AP69))))</f>
        <v>Germany</v>
      </c>
      <c r="AP69" s="16" t="str">
        <f>IF(G69="","",IF(H69="","",IF(G69&gt;H69,C69,IF(G69&lt;H69,F69,""))))</f>
        <v>Germany</v>
      </c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ht="13.5" customHeight="1">
      <c r="A70" s="25" t="str">
        <f>CONCATENATE(IF(GMT&gt;4,1,30)," ",IF(GMT&gt;4,INDEX(T,81,language),INDEX(T,80,language)))</f>
        <v>30 Jun</v>
      </c>
      <c r="B70" s="22">
        <f>TIME(19+GMT,GMT_MIN,0)</f>
        <v>0.875</v>
      </c>
      <c r="C70" s="20" t="str">
        <f>AN62</f>
        <v>Italy</v>
      </c>
      <c r="D70" s="7">
        <v>3</v>
      </c>
      <c r="E70" s="7">
        <v>0</v>
      </c>
      <c r="F70" s="19" t="str">
        <f>AN63</f>
        <v>Ukraine</v>
      </c>
      <c r="G70" s="7"/>
      <c r="H70" s="7"/>
      <c r="AN70" s="16" t="str">
        <f>IF(AO70="",INDEX(T,73,language),AO70)</f>
        <v>Italy</v>
      </c>
      <c r="AO70" s="16" t="str">
        <f>IF(D70="","",IF(E70="","",IF(D70&gt;E70,C70,IF(D70&lt;E70,F70,AP70))))</f>
        <v>Italy</v>
      </c>
      <c r="AP70" s="16" t="str">
        <f>IF(G70="","",IF(H70="","",IF(G70&gt;H70,C70,IF(G70&lt;H70,F70,""))))</f>
        <v/>
      </c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ht="13.5" customHeight="1">
      <c r="A71" s="25" t="str">
        <f>CONCATENATE(1+IF(GMT&gt;8,1,0)," ",INDEX(T,81,language))</f>
        <v>1 Jul</v>
      </c>
      <c r="B71" s="22">
        <f>TIME(15+GMT,GMT_MIN,0)</f>
        <v>0.70833333333333337</v>
      </c>
      <c r="C71" s="20" t="str">
        <f>AN60</f>
        <v>England</v>
      </c>
      <c r="D71" s="7">
        <v>0</v>
      </c>
      <c r="E71" s="7">
        <v>0</v>
      </c>
      <c r="F71" s="19" t="str">
        <f>AN61</f>
        <v>Portugal</v>
      </c>
      <c r="G71" s="7">
        <v>1</v>
      </c>
      <c r="H71" s="7">
        <v>3</v>
      </c>
      <c r="AN71" s="16" t="str">
        <f>IF(AO71="",INDEX(T,74,language),AO71)</f>
        <v>Portugal</v>
      </c>
      <c r="AO71" s="16" t="str">
        <f>IF(D71="","",IF(E71="","",IF(D71&gt;E71,C71,IF(D71&lt;E71,F71,AP71))))</f>
        <v>Portugal</v>
      </c>
      <c r="AP71" s="16" t="str">
        <f>IF(G71="","",IF(H71="","",IF(G71&gt;H71,C71,IF(G71&lt;H71,F71,""))))</f>
        <v>Portugal</v>
      </c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ht="13.5" customHeight="1">
      <c r="A72" s="25" t="str">
        <f>CONCATENATE(1+IF(GMT&gt;4,1,0)," ",INDEX(T,81,language))</f>
        <v>1 Jul</v>
      </c>
      <c r="B72" s="22">
        <f>TIME(19+GMT,GMT_MIN,0)</f>
        <v>0.875</v>
      </c>
      <c r="C72" s="20" t="str">
        <f>AN64</f>
        <v>Brazil</v>
      </c>
      <c r="D72" s="7">
        <v>0</v>
      </c>
      <c r="E72" s="7">
        <v>1</v>
      </c>
      <c r="F72" s="19" t="str">
        <f>AN65</f>
        <v>France</v>
      </c>
      <c r="G72" s="7"/>
      <c r="H72" s="7"/>
      <c r="AN72" s="16" t="str">
        <f>IF(AO72="",INDEX(T,75,language),AO72)</f>
        <v>France</v>
      </c>
      <c r="AO72" s="16" t="str">
        <f>IF(D72="","",IF(E72="","",IF(D72&gt;E72,C72,IF(D72&lt;E72,F72,AP72))))</f>
        <v>France</v>
      </c>
      <c r="AP72" s="16" t="str">
        <f>IF(G72="","",IF(H72="","",IF(G72&gt;H72,C72,IF(G72&lt;H72,F72,""))))</f>
        <v/>
      </c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1:108" ht="13.5" customHeight="1"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ht="13.5" customHeight="1">
      <c r="A74" s="62" t="str">
        <f>INDEX(T,44,language)</f>
        <v>Semi Finals</v>
      </c>
      <c r="B74" s="63"/>
      <c r="C74" s="63"/>
      <c r="D74" s="63"/>
      <c r="E74" s="63"/>
      <c r="F74" s="63"/>
      <c r="G74" s="63"/>
      <c r="H74" s="64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08" ht="13.5" customHeight="1">
      <c r="A75" s="65"/>
      <c r="B75" s="66"/>
      <c r="C75" s="66"/>
      <c r="D75" s="66"/>
      <c r="E75" s="66"/>
      <c r="F75" s="66"/>
      <c r="G75" s="66"/>
      <c r="H75" s="67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1:108" ht="13.5" customHeight="1">
      <c r="A76" s="25" t="str">
        <f>CONCATENATE(4+IF(GMT&gt;4,1,0)," ",INDEX(T,81,language))</f>
        <v>4 Jul</v>
      </c>
      <c r="B76" s="22">
        <f>TIME(19+GMT,GMT_MIN,0)</f>
        <v>0.875</v>
      </c>
      <c r="C76" s="20" t="str">
        <f>AN69</f>
        <v>Germany</v>
      </c>
      <c r="D76" s="7">
        <v>0</v>
      </c>
      <c r="E76" s="7">
        <v>0</v>
      </c>
      <c r="F76" s="19" t="str">
        <f>AN70</f>
        <v>Italy</v>
      </c>
      <c r="G76" s="7">
        <v>0</v>
      </c>
      <c r="H76" s="7">
        <v>2</v>
      </c>
      <c r="AN76" s="16" t="str">
        <f>IF(AO76="",INDEX(T,76,language),AO76)</f>
        <v>Italy</v>
      </c>
      <c r="AO76" s="16" t="str">
        <f>IF(D76="","",IF(E76="","",IF(D76&gt;E76,C76,IF(D76&lt;E76,F76,AR76))))</f>
        <v>Italy</v>
      </c>
      <c r="AP76" s="16" t="str">
        <f>IF(AQ76="",INDEX(T,78,language),AQ76)</f>
        <v>Germany</v>
      </c>
      <c r="AQ76" s="16" t="str">
        <f>IF(D76="","",IF(E76="","",IF(D76&gt;E76,F76,IF(D76&lt;E76,C76,AS76))))</f>
        <v>Germany</v>
      </c>
      <c r="AR76" s="16" t="str">
        <f>IF(G76="","",IF(H76="","",IF(G76&gt;H76,C76,IF(G76&lt;H76,F76,""))))</f>
        <v>Italy</v>
      </c>
      <c r="AS76" s="16" t="str">
        <f>IF(G76="","",IF(H76="","",IF(G76&gt;H76,F76,IF(G76&lt;H76,C76,""))))</f>
        <v>Germany</v>
      </c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1:108" ht="13.5" customHeight="1">
      <c r="A77" s="25" t="str">
        <f>CONCATENATE(5+IF(GMT&gt;4,1,0)," ",INDEX(T,81,language))</f>
        <v>5 Jul</v>
      </c>
      <c r="B77" s="22">
        <f>TIME(19+GMT,GMT_MIN,0)</f>
        <v>0.875</v>
      </c>
      <c r="C77" s="20" t="str">
        <f>AN71</f>
        <v>Portugal</v>
      </c>
      <c r="D77" s="7">
        <v>0</v>
      </c>
      <c r="E77" s="7">
        <v>1</v>
      </c>
      <c r="F77" s="19" t="str">
        <f>AN72</f>
        <v>France</v>
      </c>
      <c r="G77" s="7"/>
      <c r="H77" s="7"/>
      <c r="AN77" s="16" t="str">
        <f>IF(AO77="",INDEX(T,77,language),AO77)</f>
        <v>France</v>
      </c>
      <c r="AO77" s="16" t="str">
        <f>IF(D77="","",IF(E77="","",IF(D77&gt;E77,C77,IF(D77&lt;E77,F77,AR77))))</f>
        <v>France</v>
      </c>
      <c r="AP77" s="16" t="str">
        <f>IF(AQ77="",INDEX(T,79,language),AQ77)</f>
        <v>Portugal</v>
      </c>
      <c r="AQ77" s="16" t="str">
        <f>IF(D77="","",IF(E77="","",IF(D77&gt;E77,F77,IF(D77&lt;E77,C77,AS77))))</f>
        <v>Portugal</v>
      </c>
      <c r="AR77" s="16" t="str">
        <f>IF(G77="","",IF(H77="","",IF(G77&gt;H77,C77,IF(G77&lt;H77,F77,""))))</f>
        <v/>
      </c>
      <c r="AS77" s="16" t="str">
        <f>IF(G77="","",IF(H77="","",IF(G77&gt;H77,F77,IF(G77&lt;H77,C77,""))))</f>
        <v/>
      </c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1:108" ht="13.5" customHeight="1"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1:108" ht="13.5" customHeight="1">
      <c r="A79" s="62" t="str">
        <f>INDEX(T,45,language)</f>
        <v>Third Place Play-Off</v>
      </c>
      <c r="B79" s="63"/>
      <c r="C79" s="63"/>
      <c r="D79" s="63"/>
      <c r="E79" s="63"/>
      <c r="F79" s="63"/>
      <c r="G79" s="63"/>
      <c r="H79" s="64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1:108" ht="13.5" customHeight="1">
      <c r="A80" s="65"/>
      <c r="B80" s="66"/>
      <c r="C80" s="66"/>
      <c r="D80" s="66"/>
      <c r="E80" s="66"/>
      <c r="F80" s="66"/>
      <c r="G80" s="66"/>
      <c r="H80" s="67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ht="13.5" customHeight="1">
      <c r="A81" s="25" t="str">
        <f>CONCATENATE(8+IF(GMT&gt;4,1,0)," ",INDEX(T,81,language))</f>
        <v>8 Jul</v>
      </c>
      <c r="B81" s="22">
        <f>TIME(19+GMT,GMT_MIN,0)</f>
        <v>0.875</v>
      </c>
      <c r="C81" s="20" t="str">
        <f>AP76</f>
        <v>Germany</v>
      </c>
      <c r="D81" s="7">
        <v>3</v>
      </c>
      <c r="E81" s="7">
        <v>1</v>
      </c>
      <c r="F81" s="19" t="str">
        <f>AP77</f>
        <v>Portugal</v>
      </c>
      <c r="G81" s="7"/>
      <c r="H81" s="7"/>
      <c r="AN81" s="16" t="str">
        <f>IF(AO81="","Third Place",AO81)</f>
        <v>Germany</v>
      </c>
      <c r="AO81" s="16" t="str">
        <f>IF(D81="","",IF(E81="","",IF(D81&gt;E81,C81,IF(D81&lt;E81,F81,AP81))))</f>
        <v>Germany</v>
      </c>
      <c r="AP81" s="16" t="str">
        <f>IF(G81="","",IF(H81="","",IF(G81&gt;H81,C81,IF(G81&lt;H81,F81,""))))</f>
        <v/>
      </c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ht="13.5" customHeight="1"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ht="13.5" customHeight="1">
      <c r="A83" s="62" t="str">
        <f>INDEX(T,46,language)</f>
        <v>Final</v>
      </c>
      <c r="B83" s="63"/>
      <c r="C83" s="63"/>
      <c r="D83" s="63"/>
      <c r="E83" s="63"/>
      <c r="F83" s="63"/>
      <c r="G83" s="63"/>
      <c r="H83" s="64"/>
      <c r="J83" s="78" t="s">
        <v>84</v>
      </c>
      <c r="K83" s="80"/>
      <c r="M83" s="78" t="s">
        <v>85</v>
      </c>
      <c r="N83" s="79"/>
      <c r="O83" s="79"/>
      <c r="P83" s="80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ht="13.5" customHeight="1">
      <c r="A84" s="65"/>
      <c r="B84" s="66"/>
      <c r="C84" s="66"/>
      <c r="D84" s="66"/>
      <c r="E84" s="66"/>
      <c r="F84" s="66"/>
      <c r="G84" s="66"/>
      <c r="H84" s="67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ht="13.5" customHeight="1">
      <c r="A85" s="25" t="str">
        <f>CONCATENATE(9+IF(GMT&gt;5,1,0)," ",INDEX(T,81,language))</f>
        <v>9 Jul</v>
      </c>
      <c r="B85" s="22">
        <f>TIME(18+GMT,GMT_MIN,0)</f>
        <v>0.83333333333333337</v>
      </c>
      <c r="C85" s="20" t="str">
        <f>AN76</f>
        <v>Italy</v>
      </c>
      <c r="D85" s="7">
        <v>1</v>
      </c>
      <c r="E85" s="7">
        <v>1</v>
      </c>
      <c r="F85" s="19" t="str">
        <f>AN77</f>
        <v>France</v>
      </c>
      <c r="G85" s="7">
        <v>5</v>
      </c>
      <c r="H85" s="7">
        <v>3</v>
      </c>
      <c r="J85" s="78" t="s">
        <v>86</v>
      </c>
      <c r="K85" s="80"/>
      <c r="M85" s="78" t="s">
        <v>87</v>
      </c>
      <c r="N85" s="79"/>
      <c r="O85" s="79"/>
      <c r="P85" s="80"/>
      <c r="AN85" s="16" t="str">
        <f>IF(AO85="","",AO85)</f>
        <v>Italy</v>
      </c>
      <c r="AO85" s="16" t="str">
        <f>IF(D85="","",IF(E85="","",IF(D85&gt;E85,C85,IF(D85&lt;E85,F85,AP85))))</f>
        <v>Italy</v>
      </c>
      <c r="AP85" s="16" t="str">
        <f>IF(G85="","",IF(H85="","",IF(G85&gt;H85,C85,IF(G85&lt;H85,F85,""))))</f>
        <v>Italy</v>
      </c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>
      <c r="A86" s="10"/>
      <c r="B86" s="6"/>
      <c r="C86" s="56"/>
      <c r="D86" s="3"/>
      <c r="E86" s="3"/>
      <c r="F86" s="58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ht="21" customHeight="1">
      <c r="A87" s="68" t="str">
        <f>INDEX(T,47,language)</f>
        <v>World Champion 2006</v>
      </c>
      <c r="B87" s="68"/>
      <c r="C87" s="68"/>
      <c r="D87" s="69" t="str">
        <f>AN85</f>
        <v>Italy</v>
      </c>
      <c r="E87" s="69"/>
      <c r="F87" s="69"/>
      <c r="G87" s="69"/>
      <c r="H87" s="69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</sheetData>
  <mergeCells count="72">
    <mergeCell ref="M85:P85"/>
    <mergeCell ref="J85:K85"/>
    <mergeCell ref="M83:P83"/>
    <mergeCell ref="J83:K83"/>
    <mergeCell ref="A1:O1"/>
    <mergeCell ref="D3:L3"/>
    <mergeCell ref="L19:L20"/>
    <mergeCell ref="M19:M20"/>
    <mergeCell ref="J5:J6"/>
    <mergeCell ref="K5:K6"/>
    <mergeCell ref="O19:O20"/>
    <mergeCell ref="J19:J20"/>
    <mergeCell ref="K19:K20"/>
    <mergeCell ref="L5:L6"/>
    <mergeCell ref="M5:M6"/>
    <mergeCell ref="N5:N6"/>
    <mergeCell ref="O5:O6"/>
    <mergeCell ref="J12:J13"/>
    <mergeCell ref="K12:K13"/>
    <mergeCell ref="L12:L13"/>
    <mergeCell ref="M12:M13"/>
    <mergeCell ref="N12:N13"/>
    <mergeCell ref="O12:O13"/>
    <mergeCell ref="J26:J27"/>
    <mergeCell ref="K26:K27"/>
    <mergeCell ref="L26:L27"/>
    <mergeCell ref="M26:M27"/>
    <mergeCell ref="N19:N20"/>
    <mergeCell ref="N54:N55"/>
    <mergeCell ref="O54:O55"/>
    <mergeCell ref="N40:N41"/>
    <mergeCell ref="O40:O41"/>
    <mergeCell ref="J33:J34"/>
    <mergeCell ref="K33:K34"/>
    <mergeCell ref="L33:L34"/>
    <mergeCell ref="M33:M34"/>
    <mergeCell ref="O33:O34"/>
    <mergeCell ref="N47:N48"/>
    <mergeCell ref="O47:O48"/>
    <mergeCell ref="M47:M48"/>
    <mergeCell ref="N26:N27"/>
    <mergeCell ref="O26:O27"/>
    <mergeCell ref="N33:N34"/>
    <mergeCell ref="J54:J55"/>
    <mergeCell ref="K54:K55"/>
    <mergeCell ref="L54:L55"/>
    <mergeCell ref="M40:M41"/>
    <mergeCell ref="J40:J41"/>
    <mergeCell ref="K40:K41"/>
    <mergeCell ref="J47:J48"/>
    <mergeCell ref="K47:K48"/>
    <mergeCell ref="L47:L48"/>
    <mergeCell ref="L40:L41"/>
    <mergeCell ref="M54:M55"/>
    <mergeCell ref="A5:H6"/>
    <mergeCell ref="A56:H57"/>
    <mergeCell ref="A67:H68"/>
    <mergeCell ref="A74:H75"/>
    <mergeCell ref="A87:C87"/>
    <mergeCell ref="A79:H80"/>
    <mergeCell ref="A83:H84"/>
    <mergeCell ref="D87:H87"/>
    <mergeCell ref="P54:P55"/>
    <mergeCell ref="S5:S6"/>
    <mergeCell ref="R5:R6"/>
    <mergeCell ref="P5:P6"/>
    <mergeCell ref="P19:P20"/>
    <mergeCell ref="P33:P34"/>
    <mergeCell ref="P47:P48"/>
    <mergeCell ref="P12:P13"/>
    <mergeCell ref="P26:P27"/>
    <mergeCell ref="P40:P41"/>
  </mergeCells>
  <conditionalFormatting sqref="C58:C65 C69:C72 C76:C77 C81 F76:F77 F81 F58:F65 F69:F72">
    <cfRule type="cellIs" dxfId="12" priority="1" stopIfTrue="1" operator="equal">
      <formula>$AN58</formula>
    </cfRule>
  </conditionalFormatting>
  <conditionalFormatting sqref="C7:C54">
    <cfRule type="expression" dxfId="11" priority="2" stopIfTrue="1">
      <formula>IF($AV7=CONCATENATE($C7,"_win"),1,0)</formula>
    </cfRule>
  </conditionalFormatting>
  <conditionalFormatting sqref="F7:F54">
    <cfRule type="expression" dxfId="10" priority="3" stopIfTrue="1">
      <formula>IF($AW7=CONCATENATE($F7,"_win"),1,0)</formula>
    </cfRule>
  </conditionalFormatting>
  <conditionalFormatting sqref="D87:F87">
    <cfRule type="cellIs" dxfId="9" priority="4" stopIfTrue="1" operator="notEqual">
      <formula>"Final Winner"</formula>
    </cfRule>
  </conditionalFormatting>
  <conditionalFormatting sqref="C85 F85">
    <cfRule type="cellIs" dxfId="8" priority="5" stopIfTrue="1" operator="equal">
      <formula>$AN$85</formula>
    </cfRule>
  </conditionalFormatting>
  <conditionalFormatting sqref="J7:O10">
    <cfRule type="expression" dxfId="7" priority="6" stopIfTrue="1">
      <formula>IF($J7=$AD$7,1,IF($J7=$AD$8,1,0))</formula>
    </cfRule>
  </conditionalFormatting>
  <conditionalFormatting sqref="J14:O17">
    <cfRule type="expression" dxfId="6" priority="7" stopIfTrue="1">
      <formula>IF($J14=$AD$14,1,IF($J14=$AD$15,1,0))</formula>
    </cfRule>
  </conditionalFormatting>
  <conditionalFormatting sqref="J21:O24">
    <cfRule type="expression" dxfId="5" priority="8" stopIfTrue="1">
      <formula>IF($J21=$AD$21,1,IF($J21=$AD$22,1,0))</formula>
    </cfRule>
  </conditionalFormatting>
  <conditionalFormatting sqref="J28:O31">
    <cfRule type="expression" dxfId="4" priority="9" stopIfTrue="1">
      <formula>IF($J28=$AD$28,1,IF($J28=$AD$29,1,0))</formula>
    </cfRule>
  </conditionalFormatting>
  <conditionalFormatting sqref="J35:O38">
    <cfRule type="expression" dxfId="3" priority="10" stopIfTrue="1">
      <formula>IF($J35=$AD$35,1,IF($J35=$AD$36,1,0))</formula>
    </cfRule>
  </conditionalFormatting>
  <conditionalFormatting sqref="J42:O45">
    <cfRule type="expression" dxfId="2" priority="11" stopIfTrue="1">
      <formula>IF($J42=$AD$42,1,IF($J42=$AD$43,1,0))</formula>
    </cfRule>
  </conditionalFormatting>
  <conditionalFormatting sqref="J49:O52">
    <cfRule type="expression" dxfId="1" priority="12" stopIfTrue="1">
      <formula>IF($J49=$AD$49,1,IF($J49=$AD$50,1,0))</formula>
    </cfRule>
  </conditionalFormatting>
  <conditionalFormatting sqref="J56:O59">
    <cfRule type="expression" dxfId="0" priority="13" stopIfTrue="1">
      <formula>IF($J56=$AD$56,1,IF($J56=$AD$57,1,0))</formula>
    </cfRule>
  </conditionalFormatting>
  <hyperlinks>
    <hyperlink ref="D3:L3" r:id="rId1" display="http://www.excely.com/football/fifa-2006-world-cup-tournament-schedule/"/>
    <hyperlink ref="H3" r:id="rId2" display="http://www.excely.com/football/fifa-2006-world-cup-tournament-schedule/"/>
    <hyperlink ref="G3" r:id="rId3" display="http://www.excely.com/football/fifa-2006-world-cup-tournament-schedule/"/>
    <hyperlink ref="M83:P83" r:id="rId4" display="Formula 1. Season 2007"/>
    <hyperlink ref="M85:P85" r:id="rId5" display="Find Your Software!"/>
    <hyperlink ref="J83:K83" r:id="rId6" display="EURO-2008"/>
    <hyperlink ref="J85:K85" r:id="rId7" display="Rugby World Cup 2007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68" orientation="portrait" useFirstPageNumber="1" r:id="rId8"/>
  <headerFooter alignWithMargins="0">
    <oddFooter>&amp;CExcely.com (c) 2006</oddFooter>
  </headerFooter>
  <drawing r:id="rId9"/>
  <legacyDrawing r:id="rId10"/>
  <controls>
    <mc:AlternateContent xmlns:mc="http://schemas.openxmlformats.org/markup-compatibility/2006">
      <mc:Choice Requires="x14">
        <control shapeId="2048" r:id="rId11" name="GMT">
          <controlPr defaultSize="0" autoLine="0" linkedCell="BH6" listFillRange="BH7:BH30" r:id="rId12">
            <anchor moveWithCells="1">
              <from>
                <xdr:col>0</xdr:col>
                <xdr:colOff>95250</xdr:colOff>
                <xdr:row>4</xdr:row>
                <xdr:rowOff>57150</xdr:rowOff>
              </from>
              <to>
                <xdr:col>2</xdr:col>
                <xdr:colOff>57150</xdr:colOff>
                <xdr:row>5</xdr:row>
                <xdr:rowOff>114300</xdr:rowOff>
              </to>
            </anchor>
          </controlPr>
        </control>
      </mc:Choice>
      <mc:Fallback>
        <control shapeId="2048" r:id="rId11" name="GMT"/>
      </mc:Fallback>
    </mc:AlternateContent>
    <mc:AlternateContent xmlns:mc="http://schemas.openxmlformats.org/markup-compatibility/2006">
      <mc:Choice Requires="x14">
        <control shapeId="2049" r:id="rId13" name="ComboBox1">
          <controlPr defaultSize="0" print="0" autoLine="0" linkedCell="BJ6" listFillRange="BJ7:BJ50" r:id="rId14">
            <anchor moveWithCells="1">
              <from>
                <xdr:col>13</xdr:col>
                <xdr:colOff>161925</xdr:colOff>
                <xdr:row>2</xdr:row>
                <xdr:rowOff>161925</xdr:rowOff>
              </from>
              <to>
                <xdr:col>15</xdr:col>
                <xdr:colOff>314325</xdr:colOff>
                <xdr:row>2</xdr:row>
                <xdr:rowOff>361950</xdr:rowOff>
              </to>
            </anchor>
          </controlPr>
        </control>
      </mc:Choice>
      <mc:Fallback>
        <control shapeId="2049" r:id="rId13" name="ComboBox1"/>
      </mc:Fallback>
    </mc:AlternateContent>
    <mc:AlternateContent xmlns:mc="http://schemas.openxmlformats.org/markup-compatibility/2006">
      <mc:Choice Requires="x14">
        <control shapeId="3127" r:id="rId15" name="ComboBox2">
          <controlPr defaultSize="0" autoLine="0" linkedCell="BL6" listFillRange="BL7:BL10" r:id="rId16">
            <anchor moveWithCells="1">
              <from>
                <xdr:col>2</xdr:col>
                <xdr:colOff>95250</xdr:colOff>
                <xdr:row>4</xdr:row>
                <xdr:rowOff>57150</xdr:rowOff>
              </from>
              <to>
                <xdr:col>2</xdr:col>
                <xdr:colOff>895350</xdr:colOff>
                <xdr:row>5</xdr:row>
                <xdr:rowOff>114300</xdr:rowOff>
              </to>
            </anchor>
          </controlPr>
        </control>
      </mc:Choice>
      <mc:Fallback>
        <control shapeId="3127" r:id="rId15" name="Combo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R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customHeight="1"/>
  <cols>
    <col min="1" max="14" width="20.1640625" bestFit="1" customWidth="1"/>
    <col min="15" max="40" width="20.1640625" style="17" bestFit="1" customWidth="1"/>
    <col min="41" max="42" width="19.5" style="28" bestFit="1" customWidth="1"/>
    <col min="43" max="256" width="20.1640625" bestFit="1" customWidth="1"/>
  </cols>
  <sheetData>
    <row r="1" spans="1:44" s="13" customFormat="1">
      <c r="A1" s="13" t="s">
        <v>13</v>
      </c>
      <c r="B1" s="13" t="s">
        <v>17</v>
      </c>
      <c r="C1" s="13" t="s">
        <v>20</v>
      </c>
      <c r="D1" s="13" t="s">
        <v>23</v>
      </c>
      <c r="E1" s="13" t="s">
        <v>26</v>
      </c>
      <c r="F1" s="13" t="s">
        <v>28</v>
      </c>
      <c r="G1" s="13" t="s">
        <v>30</v>
      </c>
      <c r="H1" s="13" t="s">
        <v>32</v>
      </c>
      <c r="I1" s="13" t="s">
        <v>34</v>
      </c>
      <c r="J1" s="13" t="s">
        <v>36</v>
      </c>
      <c r="K1" s="13" t="s">
        <v>38</v>
      </c>
      <c r="L1" s="13" t="s">
        <v>40</v>
      </c>
      <c r="M1" s="13" t="s">
        <v>42</v>
      </c>
      <c r="N1" s="13" t="s">
        <v>43</v>
      </c>
      <c r="O1" s="13" t="s">
        <v>45</v>
      </c>
      <c r="P1" s="13" t="s">
        <v>88</v>
      </c>
      <c r="Q1" s="13" t="s">
        <v>49</v>
      </c>
      <c r="R1" s="13" t="s">
        <v>51</v>
      </c>
      <c r="S1" s="13" t="s">
        <v>53</v>
      </c>
      <c r="T1" s="13" t="s">
        <v>89</v>
      </c>
      <c r="U1" s="13" t="s">
        <v>57</v>
      </c>
      <c r="V1" s="13" t="s">
        <v>59</v>
      </c>
      <c r="W1" s="13" t="s">
        <v>61</v>
      </c>
      <c r="X1" s="13" t="s">
        <v>63</v>
      </c>
      <c r="Y1" s="13" t="s">
        <v>64</v>
      </c>
      <c r="Z1" s="13" t="s">
        <v>65</v>
      </c>
      <c r="AA1" s="13" t="s">
        <v>66</v>
      </c>
      <c r="AB1" s="13" t="s">
        <v>67</v>
      </c>
      <c r="AC1" s="13" t="s">
        <v>68</v>
      </c>
      <c r="AD1" s="13" t="s">
        <v>69</v>
      </c>
      <c r="AE1" s="13" t="s">
        <v>70</v>
      </c>
      <c r="AF1" s="13" t="s">
        <v>71</v>
      </c>
      <c r="AG1" s="13" t="s">
        <v>72</v>
      </c>
      <c r="AH1" s="13" t="s">
        <v>73</v>
      </c>
      <c r="AI1" s="13" t="s">
        <v>74</v>
      </c>
      <c r="AJ1" s="13" t="s">
        <v>75</v>
      </c>
      <c r="AK1" s="13" t="s">
        <v>76</v>
      </c>
      <c r="AL1" s="13" t="s">
        <v>77</v>
      </c>
      <c r="AM1" s="13" t="s">
        <v>78</v>
      </c>
      <c r="AN1" s="13" t="s">
        <v>79</v>
      </c>
      <c r="AO1" s="27" t="s">
        <v>80</v>
      </c>
      <c r="AP1" s="27" t="s">
        <v>81</v>
      </c>
      <c r="AQ1" s="13" t="s">
        <v>82</v>
      </c>
      <c r="AR1" s="13" t="s">
        <v>83</v>
      </c>
    </row>
    <row r="2" spans="1:44">
      <c r="A2" t="s">
        <v>90</v>
      </c>
      <c r="B2" t="s">
        <v>91</v>
      </c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  <c r="W2" t="s">
        <v>112</v>
      </c>
      <c r="X2" t="s">
        <v>113</v>
      </c>
      <c r="Y2" t="s">
        <v>114</v>
      </c>
      <c r="Z2" t="s">
        <v>115</v>
      </c>
      <c r="AA2" t="s">
        <v>116</v>
      </c>
      <c r="AB2" t="s">
        <v>117</v>
      </c>
      <c r="AC2" t="s">
        <v>118</v>
      </c>
      <c r="AD2" t="s">
        <v>119</v>
      </c>
      <c r="AE2" t="s">
        <v>120</v>
      </c>
      <c r="AF2" t="s">
        <v>121</v>
      </c>
      <c r="AG2" t="s">
        <v>122</v>
      </c>
      <c r="AH2" t="s">
        <v>123</v>
      </c>
      <c r="AI2" t="s">
        <v>124</v>
      </c>
      <c r="AJ2" t="s">
        <v>125</v>
      </c>
      <c r="AK2" s="17" t="s">
        <v>126</v>
      </c>
      <c r="AL2" s="17" t="s">
        <v>127</v>
      </c>
      <c r="AM2" s="17" t="s">
        <v>128</v>
      </c>
      <c r="AN2" s="17" t="s">
        <v>129</v>
      </c>
      <c r="AO2" s="28" t="s">
        <v>130</v>
      </c>
      <c r="AP2" s="28" t="s">
        <v>131</v>
      </c>
      <c r="AQ2" s="29" t="s">
        <v>132</v>
      </c>
      <c r="AR2" s="33" t="s">
        <v>133</v>
      </c>
    </row>
    <row r="3" spans="1:44">
      <c r="A3" t="s">
        <v>134</v>
      </c>
      <c r="B3" t="s">
        <v>135</v>
      </c>
      <c r="C3" t="s">
        <v>136</v>
      </c>
      <c r="D3" t="s">
        <v>137</v>
      </c>
      <c r="E3" t="s">
        <v>138</v>
      </c>
      <c r="F3" t="s">
        <v>139</v>
      </c>
      <c r="G3" t="s">
        <v>140</v>
      </c>
      <c r="H3" t="s">
        <v>141</v>
      </c>
      <c r="I3" t="s">
        <v>142</v>
      </c>
      <c r="J3" t="s">
        <v>141</v>
      </c>
      <c r="K3" t="s">
        <v>143</v>
      </c>
      <c r="L3" t="s">
        <v>141</v>
      </c>
      <c r="M3" t="s">
        <v>144</v>
      </c>
      <c r="N3" t="s">
        <v>145</v>
      </c>
      <c r="O3" t="s">
        <v>146</v>
      </c>
      <c r="P3" t="s">
        <v>147</v>
      </c>
      <c r="Q3" t="s">
        <v>148</v>
      </c>
      <c r="R3" t="s">
        <v>149</v>
      </c>
      <c r="S3" t="s">
        <v>150</v>
      </c>
      <c r="T3" t="s">
        <v>151</v>
      </c>
      <c r="U3" t="s">
        <v>152</v>
      </c>
      <c r="V3" t="s">
        <v>138</v>
      </c>
      <c r="W3" t="s">
        <v>153</v>
      </c>
      <c r="X3" t="s">
        <v>148</v>
      </c>
      <c r="Y3" t="s">
        <v>146</v>
      </c>
      <c r="Z3" t="s">
        <v>154</v>
      </c>
      <c r="AA3" t="s">
        <v>155</v>
      </c>
      <c r="AB3" t="s">
        <v>156</v>
      </c>
      <c r="AC3" t="s">
        <v>157</v>
      </c>
      <c r="AD3" t="s">
        <v>158</v>
      </c>
      <c r="AE3" t="s">
        <v>159</v>
      </c>
      <c r="AF3" t="s">
        <v>160</v>
      </c>
      <c r="AG3" t="s">
        <v>161</v>
      </c>
      <c r="AH3" t="s">
        <v>162</v>
      </c>
      <c r="AI3" t="s">
        <v>163</v>
      </c>
      <c r="AJ3" t="s">
        <v>164</v>
      </c>
      <c r="AK3" s="17" t="s">
        <v>165</v>
      </c>
      <c r="AL3" s="17" t="s">
        <v>166</v>
      </c>
      <c r="AM3" s="17" t="s">
        <v>167</v>
      </c>
      <c r="AN3" s="17" t="s">
        <v>168</v>
      </c>
      <c r="AO3" s="28" t="s">
        <v>169</v>
      </c>
      <c r="AP3" s="30" t="s">
        <v>170</v>
      </c>
      <c r="AQ3" s="29" t="s">
        <v>171</v>
      </c>
      <c r="AR3" s="33" t="s">
        <v>172</v>
      </c>
    </row>
    <row r="4" spans="1:44">
      <c r="A4" t="s">
        <v>173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G4" t="s">
        <v>173</v>
      </c>
      <c r="H4" t="s">
        <v>173</v>
      </c>
      <c r="I4" t="s">
        <v>174</v>
      </c>
      <c r="J4" t="s">
        <v>173</v>
      </c>
      <c r="K4" t="s">
        <v>173</v>
      </c>
      <c r="L4" t="s">
        <v>173</v>
      </c>
      <c r="M4" t="s">
        <v>175</v>
      </c>
      <c r="N4" t="s">
        <v>176</v>
      </c>
      <c r="O4" t="s">
        <v>177</v>
      </c>
      <c r="P4" t="s">
        <v>173</v>
      </c>
      <c r="Q4" t="s">
        <v>178</v>
      </c>
      <c r="R4" t="s">
        <v>179</v>
      </c>
      <c r="S4" t="s">
        <v>178</v>
      </c>
      <c r="T4" t="s">
        <v>178</v>
      </c>
      <c r="U4" t="s">
        <v>173</v>
      </c>
      <c r="V4" t="s">
        <v>173</v>
      </c>
      <c r="W4" t="s">
        <v>178</v>
      </c>
      <c r="X4" t="s">
        <v>178</v>
      </c>
      <c r="Y4" t="s">
        <v>177</v>
      </c>
      <c r="Z4" t="s">
        <v>180</v>
      </c>
      <c r="AA4" t="s">
        <v>181</v>
      </c>
      <c r="AB4" t="s">
        <v>181</v>
      </c>
      <c r="AC4" t="s">
        <v>173</v>
      </c>
      <c r="AD4" t="s">
        <v>181</v>
      </c>
      <c r="AE4" t="s">
        <v>173</v>
      </c>
      <c r="AF4" t="s">
        <v>177</v>
      </c>
      <c r="AG4" t="s">
        <v>182</v>
      </c>
      <c r="AH4" t="s">
        <v>183</v>
      </c>
      <c r="AI4" t="s">
        <v>184</v>
      </c>
      <c r="AJ4" t="s">
        <v>185</v>
      </c>
      <c r="AK4" s="17" t="s">
        <v>186</v>
      </c>
      <c r="AL4" s="17" t="s">
        <v>187</v>
      </c>
      <c r="AM4" s="17" t="s">
        <v>188</v>
      </c>
      <c r="AN4" s="17" t="s">
        <v>189</v>
      </c>
      <c r="AO4" s="28" t="s">
        <v>190</v>
      </c>
      <c r="AP4" s="30" t="s">
        <v>191</v>
      </c>
      <c r="AQ4" s="29" t="s">
        <v>192</v>
      </c>
      <c r="AR4" s="33" t="s">
        <v>193</v>
      </c>
    </row>
    <row r="5" spans="1:44">
      <c r="A5" t="s">
        <v>194</v>
      </c>
      <c r="B5" t="s">
        <v>195</v>
      </c>
      <c r="C5" t="s">
        <v>196</v>
      </c>
      <c r="D5" t="s">
        <v>197</v>
      </c>
      <c r="E5" t="s">
        <v>197</v>
      </c>
      <c r="F5" t="s">
        <v>198</v>
      </c>
      <c r="G5" t="s">
        <v>195</v>
      </c>
      <c r="H5" t="s">
        <v>195</v>
      </c>
      <c r="I5" t="s">
        <v>199</v>
      </c>
      <c r="J5" t="s">
        <v>195</v>
      </c>
      <c r="K5" t="s">
        <v>195</v>
      </c>
      <c r="L5" t="s">
        <v>195</v>
      </c>
      <c r="M5" t="s">
        <v>200</v>
      </c>
      <c r="N5" t="s">
        <v>201</v>
      </c>
      <c r="O5" t="s">
        <v>202</v>
      </c>
      <c r="P5" t="s">
        <v>203</v>
      </c>
      <c r="Q5" t="s">
        <v>204</v>
      </c>
      <c r="R5" t="s">
        <v>205</v>
      </c>
      <c r="S5" t="s">
        <v>206</v>
      </c>
      <c r="T5" t="s">
        <v>207</v>
      </c>
      <c r="U5" t="s">
        <v>204</v>
      </c>
      <c r="V5" t="s">
        <v>197</v>
      </c>
      <c r="W5" t="s">
        <v>197</v>
      </c>
      <c r="X5" t="s">
        <v>204</v>
      </c>
      <c r="Y5" t="s">
        <v>208</v>
      </c>
      <c r="Z5" t="s">
        <v>209</v>
      </c>
      <c r="AA5" t="s">
        <v>210</v>
      </c>
      <c r="AB5" t="s">
        <v>211</v>
      </c>
      <c r="AC5" t="s">
        <v>212</v>
      </c>
      <c r="AD5" t="s">
        <v>213</v>
      </c>
      <c r="AE5" t="s">
        <v>194</v>
      </c>
      <c r="AF5" t="s">
        <v>214</v>
      </c>
      <c r="AG5" t="s">
        <v>215</v>
      </c>
      <c r="AH5" t="s">
        <v>216</v>
      </c>
      <c r="AI5" t="s">
        <v>217</v>
      </c>
      <c r="AJ5" t="s">
        <v>218</v>
      </c>
      <c r="AK5" s="17" t="s">
        <v>219</v>
      </c>
      <c r="AL5" s="17" t="s">
        <v>220</v>
      </c>
      <c r="AM5" s="17" t="s">
        <v>221</v>
      </c>
      <c r="AN5" s="17" t="s">
        <v>222</v>
      </c>
      <c r="AO5" s="28" t="s">
        <v>223</v>
      </c>
      <c r="AP5" s="30" t="s">
        <v>224</v>
      </c>
      <c r="AQ5" s="29" t="s">
        <v>225</v>
      </c>
      <c r="AR5" s="33" t="s">
        <v>226</v>
      </c>
    </row>
    <row r="6" spans="1:44">
      <c r="A6" t="s">
        <v>227</v>
      </c>
      <c r="B6" t="s">
        <v>227</v>
      </c>
      <c r="C6" t="s">
        <v>228</v>
      </c>
      <c r="D6" t="s">
        <v>227</v>
      </c>
      <c r="E6" t="s">
        <v>227</v>
      </c>
      <c r="F6" t="s">
        <v>229</v>
      </c>
      <c r="G6" t="s">
        <v>227</v>
      </c>
      <c r="H6" t="s">
        <v>227</v>
      </c>
      <c r="I6" t="s">
        <v>230</v>
      </c>
      <c r="J6" t="s">
        <v>227</v>
      </c>
      <c r="K6" t="s">
        <v>227</v>
      </c>
      <c r="L6" t="s">
        <v>227</v>
      </c>
      <c r="M6" t="s">
        <v>231</v>
      </c>
      <c r="N6" t="s">
        <v>232</v>
      </c>
      <c r="O6" t="s">
        <v>233</v>
      </c>
      <c r="P6" t="s">
        <v>227</v>
      </c>
      <c r="Q6" t="s">
        <v>234</v>
      </c>
      <c r="R6" t="s">
        <v>233</v>
      </c>
      <c r="S6" t="s">
        <v>235</v>
      </c>
      <c r="T6" t="s">
        <v>235</v>
      </c>
      <c r="U6" t="s">
        <v>234</v>
      </c>
      <c r="V6" t="s">
        <v>227</v>
      </c>
      <c r="W6" t="s">
        <v>236</v>
      </c>
      <c r="X6" t="s">
        <v>234</v>
      </c>
      <c r="Y6" t="s">
        <v>237</v>
      </c>
      <c r="Z6" t="s">
        <v>233</v>
      </c>
      <c r="AA6" t="s">
        <v>238</v>
      </c>
      <c r="AB6" t="s">
        <v>234</v>
      </c>
      <c r="AC6" t="s">
        <v>227</v>
      </c>
      <c r="AD6" t="s">
        <v>230</v>
      </c>
      <c r="AE6" t="s">
        <v>227</v>
      </c>
      <c r="AF6" t="s">
        <v>239</v>
      </c>
      <c r="AG6" t="s">
        <v>240</v>
      </c>
      <c r="AH6" t="s">
        <v>241</v>
      </c>
      <c r="AI6" t="s">
        <v>242</v>
      </c>
      <c r="AJ6" t="s">
        <v>243</v>
      </c>
      <c r="AK6" s="17" t="s">
        <v>244</v>
      </c>
      <c r="AL6" s="17" t="s">
        <v>245</v>
      </c>
      <c r="AM6" s="17" t="s">
        <v>246</v>
      </c>
      <c r="AN6" s="17" t="s">
        <v>247</v>
      </c>
      <c r="AO6" s="28" t="s">
        <v>248</v>
      </c>
      <c r="AP6" s="30" t="s">
        <v>249</v>
      </c>
      <c r="AQ6" s="29" t="s">
        <v>250</v>
      </c>
      <c r="AR6" s="33" t="s">
        <v>251</v>
      </c>
    </row>
    <row r="7" spans="1:44">
      <c r="A7" t="s">
        <v>252</v>
      </c>
      <c r="B7" t="s">
        <v>252</v>
      </c>
      <c r="C7" t="s">
        <v>253</v>
      </c>
      <c r="D7" t="s">
        <v>254</v>
      </c>
      <c r="E7" t="s">
        <v>255</v>
      </c>
      <c r="F7" t="s">
        <v>254</v>
      </c>
      <c r="G7" t="s">
        <v>256</v>
      </c>
      <c r="H7" t="s">
        <v>252</v>
      </c>
      <c r="I7" t="s">
        <v>257</v>
      </c>
      <c r="J7" t="s">
        <v>252</v>
      </c>
      <c r="K7" t="s">
        <v>252</v>
      </c>
      <c r="L7" t="s">
        <v>252</v>
      </c>
      <c r="M7" t="s">
        <v>258</v>
      </c>
      <c r="N7" t="s">
        <v>259</v>
      </c>
      <c r="O7" t="s">
        <v>260</v>
      </c>
      <c r="P7" t="s">
        <v>259</v>
      </c>
      <c r="Q7" t="s">
        <v>261</v>
      </c>
      <c r="R7" t="s">
        <v>262</v>
      </c>
      <c r="S7" t="s">
        <v>263</v>
      </c>
      <c r="T7" t="s">
        <v>264</v>
      </c>
      <c r="U7" t="s">
        <v>265</v>
      </c>
      <c r="V7" t="s">
        <v>259</v>
      </c>
      <c r="W7" t="s">
        <v>259</v>
      </c>
      <c r="X7" t="s">
        <v>261</v>
      </c>
      <c r="Y7" t="s">
        <v>260</v>
      </c>
      <c r="Z7" t="s">
        <v>266</v>
      </c>
      <c r="AA7" t="s">
        <v>267</v>
      </c>
      <c r="AB7" t="s">
        <v>268</v>
      </c>
      <c r="AC7" t="s">
        <v>269</v>
      </c>
      <c r="AD7" t="s">
        <v>270</v>
      </c>
      <c r="AE7" t="s">
        <v>271</v>
      </c>
      <c r="AF7" t="s">
        <v>272</v>
      </c>
      <c r="AG7" t="s">
        <v>273</v>
      </c>
      <c r="AH7" t="s">
        <v>274</v>
      </c>
      <c r="AI7" t="s">
        <v>275</v>
      </c>
      <c r="AJ7" t="s">
        <v>276</v>
      </c>
      <c r="AK7" s="17" t="s">
        <v>277</v>
      </c>
      <c r="AL7" s="17" t="s">
        <v>278</v>
      </c>
      <c r="AM7" s="17" t="s">
        <v>279</v>
      </c>
      <c r="AN7" s="17" t="s">
        <v>280</v>
      </c>
      <c r="AO7" s="28" t="s">
        <v>281</v>
      </c>
      <c r="AP7" s="30" t="s">
        <v>282</v>
      </c>
      <c r="AQ7" s="29" t="s">
        <v>283</v>
      </c>
      <c r="AR7" s="33" t="s">
        <v>284</v>
      </c>
    </row>
    <row r="8" spans="1:44">
      <c r="A8" t="s">
        <v>285</v>
      </c>
      <c r="B8" t="s">
        <v>285</v>
      </c>
      <c r="C8" t="s">
        <v>285</v>
      </c>
      <c r="D8" t="s">
        <v>285</v>
      </c>
      <c r="E8" t="s">
        <v>285</v>
      </c>
      <c r="F8" t="s">
        <v>286</v>
      </c>
      <c r="G8" t="s">
        <v>285</v>
      </c>
      <c r="H8" t="s">
        <v>285</v>
      </c>
      <c r="I8" t="s">
        <v>287</v>
      </c>
      <c r="J8" t="s">
        <v>285</v>
      </c>
      <c r="K8" t="s">
        <v>285</v>
      </c>
      <c r="L8" t="s">
        <v>285</v>
      </c>
      <c r="M8" t="s">
        <v>288</v>
      </c>
      <c r="N8" t="s">
        <v>289</v>
      </c>
      <c r="O8" t="s">
        <v>290</v>
      </c>
      <c r="P8" t="s">
        <v>285</v>
      </c>
      <c r="Q8" t="s">
        <v>291</v>
      </c>
      <c r="R8" t="s">
        <v>292</v>
      </c>
      <c r="S8" t="s">
        <v>285</v>
      </c>
      <c r="T8" t="s">
        <v>293</v>
      </c>
      <c r="U8" t="s">
        <v>291</v>
      </c>
      <c r="V8" t="s">
        <v>286</v>
      </c>
      <c r="W8" t="s">
        <v>294</v>
      </c>
      <c r="X8" t="s">
        <v>291</v>
      </c>
      <c r="Y8" t="s">
        <v>290</v>
      </c>
      <c r="Z8" t="s">
        <v>290</v>
      </c>
      <c r="AA8" t="s">
        <v>285</v>
      </c>
      <c r="AB8" t="s">
        <v>295</v>
      </c>
      <c r="AC8" t="s">
        <v>285</v>
      </c>
      <c r="AD8" t="s">
        <v>285</v>
      </c>
      <c r="AE8" t="s">
        <v>285</v>
      </c>
      <c r="AF8" t="s">
        <v>296</v>
      </c>
      <c r="AG8" t="s">
        <v>297</v>
      </c>
      <c r="AH8" t="s">
        <v>298</v>
      </c>
      <c r="AI8" t="s">
        <v>299</v>
      </c>
      <c r="AJ8" t="s">
        <v>300</v>
      </c>
      <c r="AK8" s="17" t="s">
        <v>301</v>
      </c>
      <c r="AL8" s="17" t="s">
        <v>302</v>
      </c>
      <c r="AM8" s="17" t="s">
        <v>303</v>
      </c>
      <c r="AN8" s="17" t="s">
        <v>304</v>
      </c>
      <c r="AO8" s="28" t="s">
        <v>305</v>
      </c>
      <c r="AP8" s="30" t="s">
        <v>305</v>
      </c>
      <c r="AQ8" s="29" t="s">
        <v>306</v>
      </c>
      <c r="AR8" s="33" t="s">
        <v>307</v>
      </c>
    </row>
    <row r="9" spans="1:44">
      <c r="A9" t="s">
        <v>308</v>
      </c>
      <c r="B9" t="s">
        <v>309</v>
      </c>
      <c r="C9" t="s">
        <v>310</v>
      </c>
      <c r="D9" t="s">
        <v>311</v>
      </c>
      <c r="E9" t="s">
        <v>312</v>
      </c>
      <c r="F9" t="s">
        <v>313</v>
      </c>
      <c r="G9" t="s">
        <v>308</v>
      </c>
      <c r="H9" t="s">
        <v>314</v>
      </c>
      <c r="I9" s="26" t="s">
        <v>315</v>
      </c>
      <c r="J9" s="26" t="s">
        <v>308</v>
      </c>
      <c r="K9" s="26" t="s">
        <v>308</v>
      </c>
      <c r="L9" s="26" t="s">
        <v>308</v>
      </c>
      <c r="M9" s="26" t="s">
        <v>316</v>
      </c>
      <c r="N9" t="s">
        <v>317</v>
      </c>
      <c r="O9" t="s">
        <v>318</v>
      </c>
      <c r="P9" t="s">
        <v>319</v>
      </c>
      <c r="Q9" s="26" t="s">
        <v>320</v>
      </c>
      <c r="R9" s="26" t="s">
        <v>318</v>
      </c>
      <c r="S9" s="26" t="s">
        <v>321</v>
      </c>
      <c r="T9" s="26" t="s">
        <v>321</v>
      </c>
      <c r="U9" s="26" t="s">
        <v>308</v>
      </c>
      <c r="V9" s="26" t="s">
        <v>308</v>
      </c>
      <c r="W9" s="26" t="s">
        <v>308</v>
      </c>
      <c r="X9" s="26" t="s">
        <v>322</v>
      </c>
      <c r="Y9" s="26" t="s">
        <v>318</v>
      </c>
      <c r="Z9" s="26" t="s">
        <v>323</v>
      </c>
      <c r="AA9" s="26" t="s">
        <v>324</v>
      </c>
      <c r="AB9" s="26" t="s">
        <v>325</v>
      </c>
      <c r="AC9" s="26" t="s">
        <v>326</v>
      </c>
      <c r="AD9" s="26" t="s">
        <v>308</v>
      </c>
      <c r="AE9" s="26" t="s">
        <v>327</v>
      </c>
      <c r="AF9" s="26" t="s">
        <v>328</v>
      </c>
      <c r="AG9" s="26" t="s">
        <v>329</v>
      </c>
      <c r="AH9" s="26" t="s">
        <v>330</v>
      </c>
      <c r="AI9" s="26" t="s">
        <v>331</v>
      </c>
      <c r="AJ9" s="26" t="s">
        <v>332</v>
      </c>
      <c r="AK9" s="18" t="s">
        <v>333</v>
      </c>
      <c r="AL9" s="18" t="s">
        <v>334</v>
      </c>
      <c r="AM9" s="18" t="s">
        <v>335</v>
      </c>
      <c r="AN9" s="18" t="s">
        <v>336</v>
      </c>
      <c r="AO9" s="28" t="s">
        <v>337</v>
      </c>
      <c r="AP9" s="30" t="s">
        <v>338</v>
      </c>
      <c r="AQ9" s="31" t="s">
        <v>339</v>
      </c>
      <c r="AR9" s="34" t="s">
        <v>340</v>
      </c>
    </row>
    <row r="10" spans="1:44">
      <c r="A10" t="s">
        <v>341</v>
      </c>
      <c r="B10" t="s">
        <v>342</v>
      </c>
      <c r="C10" t="s">
        <v>343</v>
      </c>
      <c r="D10" t="s">
        <v>344</v>
      </c>
      <c r="E10" t="s">
        <v>345</v>
      </c>
      <c r="F10" t="s">
        <v>346</v>
      </c>
      <c r="G10" t="s">
        <v>347</v>
      </c>
      <c r="H10" t="s">
        <v>348</v>
      </c>
      <c r="I10" t="s">
        <v>349</v>
      </c>
      <c r="J10" t="s">
        <v>348</v>
      </c>
      <c r="K10" t="s">
        <v>342</v>
      </c>
      <c r="L10" t="s">
        <v>348</v>
      </c>
      <c r="M10" t="s">
        <v>350</v>
      </c>
      <c r="N10" t="s">
        <v>351</v>
      </c>
      <c r="O10" t="s">
        <v>352</v>
      </c>
      <c r="P10" t="s">
        <v>353</v>
      </c>
      <c r="Q10" t="s">
        <v>354</v>
      </c>
      <c r="R10" t="s">
        <v>355</v>
      </c>
      <c r="S10" t="s">
        <v>356</v>
      </c>
      <c r="T10" t="s">
        <v>356</v>
      </c>
      <c r="U10" t="s">
        <v>354</v>
      </c>
      <c r="V10" t="s">
        <v>357</v>
      </c>
      <c r="W10" t="s">
        <v>357</v>
      </c>
      <c r="X10" t="s">
        <v>354</v>
      </c>
      <c r="Y10" t="s">
        <v>352</v>
      </c>
      <c r="Z10" t="s">
        <v>358</v>
      </c>
      <c r="AA10" t="s">
        <v>359</v>
      </c>
      <c r="AB10" t="s">
        <v>359</v>
      </c>
      <c r="AC10" t="s">
        <v>360</v>
      </c>
      <c r="AD10" t="s">
        <v>361</v>
      </c>
      <c r="AE10" t="s">
        <v>341</v>
      </c>
      <c r="AF10" t="s">
        <v>362</v>
      </c>
      <c r="AG10" t="s">
        <v>363</v>
      </c>
      <c r="AH10" t="s">
        <v>364</v>
      </c>
      <c r="AI10" t="s">
        <v>365</v>
      </c>
      <c r="AJ10" t="s">
        <v>366</v>
      </c>
      <c r="AK10" s="17" t="s">
        <v>367</v>
      </c>
      <c r="AL10" s="17" t="s">
        <v>368</v>
      </c>
      <c r="AM10" s="17" t="s">
        <v>369</v>
      </c>
      <c r="AN10" s="17" t="s">
        <v>370</v>
      </c>
      <c r="AO10" s="28" t="s">
        <v>371</v>
      </c>
      <c r="AP10" s="30" t="s">
        <v>371</v>
      </c>
      <c r="AQ10" s="29" t="s">
        <v>372</v>
      </c>
      <c r="AR10" s="33" t="s">
        <v>373</v>
      </c>
    </row>
    <row r="11" spans="1:44">
      <c r="A11" t="s">
        <v>374</v>
      </c>
      <c r="B11" t="s">
        <v>375</v>
      </c>
      <c r="C11" t="s">
        <v>376</v>
      </c>
      <c r="D11" t="s">
        <v>374</v>
      </c>
      <c r="E11" t="s">
        <v>374</v>
      </c>
      <c r="F11" t="s">
        <v>374</v>
      </c>
      <c r="G11" t="s">
        <v>377</v>
      </c>
      <c r="H11" t="s">
        <v>374</v>
      </c>
      <c r="I11" t="s">
        <v>378</v>
      </c>
      <c r="J11" t="s">
        <v>374</v>
      </c>
      <c r="K11" t="s">
        <v>375</v>
      </c>
      <c r="L11" t="s">
        <v>374</v>
      </c>
      <c r="M11" t="s">
        <v>379</v>
      </c>
      <c r="N11" t="s">
        <v>380</v>
      </c>
      <c r="O11" t="s">
        <v>381</v>
      </c>
      <c r="P11" t="s">
        <v>382</v>
      </c>
      <c r="Q11" t="s">
        <v>374</v>
      </c>
      <c r="R11" t="s">
        <v>383</v>
      </c>
      <c r="S11" t="s">
        <v>374</v>
      </c>
      <c r="T11" t="s">
        <v>382</v>
      </c>
      <c r="U11" t="s">
        <v>374</v>
      </c>
      <c r="V11" t="s">
        <v>374</v>
      </c>
      <c r="W11" t="s">
        <v>384</v>
      </c>
      <c r="X11" t="s">
        <v>374</v>
      </c>
      <c r="Y11" t="s">
        <v>383</v>
      </c>
      <c r="Z11" t="s">
        <v>383</v>
      </c>
      <c r="AA11" t="s">
        <v>385</v>
      </c>
      <c r="AB11" t="s">
        <v>374</v>
      </c>
      <c r="AC11" t="s">
        <v>386</v>
      </c>
      <c r="AD11" t="s">
        <v>374</v>
      </c>
      <c r="AE11" t="s">
        <v>374</v>
      </c>
      <c r="AF11" t="s">
        <v>387</v>
      </c>
      <c r="AG11" t="s">
        <v>388</v>
      </c>
      <c r="AH11" t="s">
        <v>389</v>
      </c>
      <c r="AI11" t="s">
        <v>390</v>
      </c>
      <c r="AJ11" t="s">
        <v>391</v>
      </c>
      <c r="AK11" s="17" t="s">
        <v>392</v>
      </c>
      <c r="AL11" s="17" t="s">
        <v>393</v>
      </c>
      <c r="AM11" s="17" t="s">
        <v>394</v>
      </c>
      <c r="AN11" s="17" t="s">
        <v>395</v>
      </c>
      <c r="AO11" s="28" t="s">
        <v>396</v>
      </c>
      <c r="AP11" s="30" t="s">
        <v>396</v>
      </c>
      <c r="AQ11" s="29" t="s">
        <v>397</v>
      </c>
      <c r="AR11" s="33" t="s">
        <v>398</v>
      </c>
    </row>
    <row r="12" spans="1:44">
      <c r="A12" t="s">
        <v>399</v>
      </c>
      <c r="B12" t="s">
        <v>400</v>
      </c>
      <c r="C12" t="s">
        <v>399</v>
      </c>
      <c r="D12" t="s">
        <v>401</v>
      </c>
      <c r="E12" t="s">
        <v>402</v>
      </c>
      <c r="F12" t="s">
        <v>403</v>
      </c>
      <c r="G12" t="s">
        <v>404</v>
      </c>
      <c r="H12" t="s">
        <v>405</v>
      </c>
      <c r="I12" t="s">
        <v>406</v>
      </c>
      <c r="J12" t="s">
        <v>407</v>
      </c>
      <c r="K12" t="s">
        <v>408</v>
      </c>
      <c r="L12" t="s">
        <v>399</v>
      </c>
      <c r="M12" t="s">
        <v>409</v>
      </c>
      <c r="N12" t="s">
        <v>410</v>
      </c>
      <c r="O12" t="s">
        <v>411</v>
      </c>
      <c r="P12" t="s">
        <v>412</v>
      </c>
      <c r="Q12" t="s">
        <v>413</v>
      </c>
      <c r="R12" t="s">
        <v>414</v>
      </c>
      <c r="S12" t="s">
        <v>415</v>
      </c>
      <c r="T12" t="s">
        <v>416</v>
      </c>
      <c r="U12" t="s">
        <v>417</v>
      </c>
      <c r="V12" t="s">
        <v>418</v>
      </c>
      <c r="W12" t="s">
        <v>419</v>
      </c>
      <c r="X12" t="s">
        <v>420</v>
      </c>
      <c r="Y12" t="s">
        <v>421</v>
      </c>
      <c r="Z12" t="s">
        <v>422</v>
      </c>
      <c r="AA12" t="s">
        <v>423</v>
      </c>
      <c r="AB12" t="s">
        <v>424</v>
      </c>
      <c r="AC12" t="s">
        <v>425</v>
      </c>
      <c r="AD12" t="s">
        <v>426</v>
      </c>
      <c r="AE12" t="s">
        <v>399</v>
      </c>
      <c r="AF12" t="s">
        <v>427</v>
      </c>
      <c r="AG12" t="s">
        <v>428</v>
      </c>
      <c r="AH12" t="s">
        <v>429</v>
      </c>
      <c r="AI12" t="s">
        <v>430</v>
      </c>
      <c r="AJ12" t="s">
        <v>431</v>
      </c>
      <c r="AK12" s="17" t="s">
        <v>432</v>
      </c>
      <c r="AL12" s="17" t="s">
        <v>433</v>
      </c>
      <c r="AM12" s="17" t="s">
        <v>434</v>
      </c>
      <c r="AN12" s="17" t="s">
        <v>435</v>
      </c>
      <c r="AO12" s="28" t="s">
        <v>436</v>
      </c>
      <c r="AP12" s="30" t="s">
        <v>436</v>
      </c>
      <c r="AQ12" s="29" t="s">
        <v>437</v>
      </c>
      <c r="AR12" s="33" t="s">
        <v>438</v>
      </c>
    </row>
    <row r="13" spans="1:44">
      <c r="A13" t="s">
        <v>439</v>
      </c>
      <c r="B13" t="s">
        <v>440</v>
      </c>
      <c r="C13" t="s">
        <v>441</v>
      </c>
      <c r="D13" t="s">
        <v>442</v>
      </c>
      <c r="E13" t="s">
        <v>443</v>
      </c>
      <c r="F13" t="s">
        <v>444</v>
      </c>
      <c r="G13" t="s">
        <v>445</v>
      </c>
      <c r="H13" t="s">
        <v>446</v>
      </c>
      <c r="I13" t="s">
        <v>447</v>
      </c>
      <c r="J13" t="s">
        <v>448</v>
      </c>
      <c r="K13" t="s">
        <v>449</v>
      </c>
      <c r="L13" t="s">
        <v>450</v>
      </c>
      <c r="M13" t="s">
        <v>451</v>
      </c>
      <c r="N13" t="s">
        <v>452</v>
      </c>
      <c r="O13" t="s">
        <v>453</v>
      </c>
      <c r="P13" t="s">
        <v>454</v>
      </c>
      <c r="Q13" t="s">
        <v>455</v>
      </c>
      <c r="R13" t="s">
        <v>456</v>
      </c>
      <c r="S13" t="s">
        <v>457</v>
      </c>
      <c r="T13" t="s">
        <v>458</v>
      </c>
      <c r="U13" t="s">
        <v>459</v>
      </c>
      <c r="V13" t="s">
        <v>460</v>
      </c>
      <c r="W13" t="s">
        <v>461</v>
      </c>
      <c r="X13" t="s">
        <v>455</v>
      </c>
      <c r="Y13" t="s">
        <v>462</v>
      </c>
      <c r="Z13" t="s">
        <v>463</v>
      </c>
      <c r="AA13" t="s">
        <v>464</v>
      </c>
      <c r="AB13" t="s">
        <v>465</v>
      </c>
      <c r="AC13" t="s">
        <v>439</v>
      </c>
      <c r="AD13" t="s">
        <v>439</v>
      </c>
      <c r="AE13" t="s">
        <v>466</v>
      </c>
      <c r="AF13" t="s">
        <v>467</v>
      </c>
      <c r="AG13" t="s">
        <v>468</v>
      </c>
      <c r="AH13" t="s">
        <v>469</v>
      </c>
      <c r="AI13" t="s">
        <v>470</v>
      </c>
      <c r="AJ13" t="s">
        <v>471</v>
      </c>
      <c r="AK13" s="18" t="s">
        <v>472</v>
      </c>
      <c r="AL13" s="18" t="s">
        <v>473</v>
      </c>
      <c r="AM13" s="18" t="s">
        <v>474</v>
      </c>
      <c r="AN13" s="18" t="s">
        <v>475</v>
      </c>
      <c r="AO13" s="28" t="s">
        <v>476</v>
      </c>
      <c r="AP13" s="30" t="s">
        <v>476</v>
      </c>
      <c r="AQ13" s="29" t="s">
        <v>477</v>
      </c>
      <c r="AR13" s="33" t="s">
        <v>478</v>
      </c>
    </row>
    <row r="14" spans="1:44">
      <c r="A14" t="s">
        <v>479</v>
      </c>
      <c r="B14" t="s">
        <v>480</v>
      </c>
      <c r="C14" t="s">
        <v>481</v>
      </c>
      <c r="D14" t="s">
        <v>482</v>
      </c>
      <c r="E14" t="s">
        <v>483</v>
      </c>
      <c r="F14" t="s">
        <v>482</v>
      </c>
      <c r="G14" t="s">
        <v>484</v>
      </c>
      <c r="H14" t="s">
        <v>484</v>
      </c>
      <c r="I14" t="s">
        <v>485</v>
      </c>
      <c r="J14" t="s">
        <v>485</v>
      </c>
      <c r="K14" t="s">
        <v>485</v>
      </c>
      <c r="L14" t="s">
        <v>485</v>
      </c>
      <c r="M14" t="s">
        <v>486</v>
      </c>
      <c r="N14" t="s">
        <v>487</v>
      </c>
      <c r="O14" t="s">
        <v>488</v>
      </c>
      <c r="P14" t="s">
        <v>489</v>
      </c>
      <c r="Q14" t="s">
        <v>490</v>
      </c>
      <c r="R14" t="s">
        <v>491</v>
      </c>
      <c r="S14" t="s">
        <v>492</v>
      </c>
      <c r="T14" t="s">
        <v>493</v>
      </c>
      <c r="U14" t="s">
        <v>490</v>
      </c>
      <c r="V14" t="s">
        <v>483</v>
      </c>
      <c r="W14" t="s">
        <v>482</v>
      </c>
      <c r="X14" t="s">
        <v>490</v>
      </c>
      <c r="Y14" t="s">
        <v>494</v>
      </c>
      <c r="Z14" t="s">
        <v>495</v>
      </c>
      <c r="AA14" t="s">
        <v>496</v>
      </c>
      <c r="AB14" t="s">
        <v>497</v>
      </c>
      <c r="AC14" t="s">
        <v>498</v>
      </c>
      <c r="AD14" t="s">
        <v>499</v>
      </c>
      <c r="AE14" t="s">
        <v>500</v>
      </c>
      <c r="AF14" t="s">
        <v>501</v>
      </c>
      <c r="AG14" t="s">
        <v>502</v>
      </c>
      <c r="AH14" t="s">
        <v>503</v>
      </c>
      <c r="AI14" t="s">
        <v>504</v>
      </c>
      <c r="AJ14" t="s">
        <v>505</v>
      </c>
      <c r="AK14" s="17" t="s">
        <v>506</v>
      </c>
      <c r="AL14" s="17" t="s">
        <v>507</v>
      </c>
      <c r="AM14" s="17" t="s">
        <v>508</v>
      </c>
      <c r="AN14" s="17" t="s">
        <v>509</v>
      </c>
      <c r="AO14" s="28" t="s">
        <v>510</v>
      </c>
      <c r="AP14" s="30" t="s">
        <v>511</v>
      </c>
      <c r="AQ14" s="29" t="s">
        <v>512</v>
      </c>
      <c r="AR14" s="33" t="s">
        <v>513</v>
      </c>
    </row>
    <row r="15" spans="1:44">
      <c r="A15" t="s">
        <v>514</v>
      </c>
      <c r="B15" t="s">
        <v>515</v>
      </c>
      <c r="C15" t="s">
        <v>516</v>
      </c>
      <c r="D15" t="s">
        <v>517</v>
      </c>
      <c r="E15" t="s">
        <v>518</v>
      </c>
      <c r="F15" t="s">
        <v>517</v>
      </c>
      <c r="G15" t="s">
        <v>514</v>
      </c>
      <c r="H15" t="s">
        <v>514</v>
      </c>
      <c r="I15" t="s">
        <v>515</v>
      </c>
      <c r="J15" t="s">
        <v>515</v>
      </c>
      <c r="K15" t="s">
        <v>515</v>
      </c>
      <c r="L15" t="s">
        <v>514</v>
      </c>
      <c r="M15" t="s">
        <v>519</v>
      </c>
      <c r="N15" t="s">
        <v>520</v>
      </c>
      <c r="O15" t="s">
        <v>521</v>
      </c>
      <c r="P15" t="s">
        <v>522</v>
      </c>
      <c r="Q15" t="s">
        <v>523</v>
      </c>
      <c r="R15" t="s">
        <v>521</v>
      </c>
      <c r="S15" t="s">
        <v>515</v>
      </c>
      <c r="T15" t="s">
        <v>515</v>
      </c>
      <c r="U15" t="s">
        <v>524</v>
      </c>
      <c r="V15" t="s">
        <v>525</v>
      </c>
      <c r="W15" t="s">
        <v>526</v>
      </c>
      <c r="X15" t="s">
        <v>523</v>
      </c>
      <c r="Y15" t="s">
        <v>527</v>
      </c>
      <c r="Z15" t="s">
        <v>527</v>
      </c>
      <c r="AA15" t="s">
        <v>526</v>
      </c>
      <c r="AB15" t="s">
        <v>526</v>
      </c>
      <c r="AC15" t="s">
        <v>528</v>
      </c>
      <c r="AD15" t="s">
        <v>523</v>
      </c>
      <c r="AE15" t="s">
        <v>514</v>
      </c>
      <c r="AF15" t="s">
        <v>529</v>
      </c>
      <c r="AG15" t="s">
        <v>530</v>
      </c>
      <c r="AH15" t="s">
        <v>531</v>
      </c>
      <c r="AI15" t="s">
        <v>532</v>
      </c>
      <c r="AJ15" t="s">
        <v>533</v>
      </c>
      <c r="AK15" s="17" t="s">
        <v>534</v>
      </c>
      <c r="AL15" s="17" t="s">
        <v>535</v>
      </c>
      <c r="AM15" s="17" t="s">
        <v>536</v>
      </c>
      <c r="AN15" s="17" t="s">
        <v>537</v>
      </c>
      <c r="AO15" s="28" t="s">
        <v>538</v>
      </c>
      <c r="AP15" s="30" t="s">
        <v>538</v>
      </c>
      <c r="AQ15" s="29" t="s">
        <v>539</v>
      </c>
      <c r="AR15" s="33" t="s">
        <v>540</v>
      </c>
    </row>
    <row r="16" spans="1:44">
      <c r="A16" t="s">
        <v>541</v>
      </c>
      <c r="B16" t="s">
        <v>541</v>
      </c>
      <c r="C16" t="s">
        <v>541</v>
      </c>
      <c r="D16" t="s">
        <v>542</v>
      </c>
      <c r="E16" t="s">
        <v>541</v>
      </c>
      <c r="F16" t="s">
        <v>543</v>
      </c>
      <c r="G16" t="s">
        <v>541</v>
      </c>
      <c r="H16" t="s">
        <v>541</v>
      </c>
      <c r="I16" t="s">
        <v>541</v>
      </c>
      <c r="J16" t="s">
        <v>541</v>
      </c>
      <c r="K16" t="s">
        <v>541</v>
      </c>
      <c r="L16" t="s">
        <v>541</v>
      </c>
      <c r="M16" t="s">
        <v>544</v>
      </c>
      <c r="N16" t="s">
        <v>541</v>
      </c>
      <c r="O16" t="s">
        <v>545</v>
      </c>
      <c r="P16" t="s">
        <v>542</v>
      </c>
      <c r="Q16" t="s">
        <v>541</v>
      </c>
      <c r="R16" t="s">
        <v>545</v>
      </c>
      <c r="S16" t="s">
        <v>542</v>
      </c>
      <c r="T16" t="s">
        <v>542</v>
      </c>
      <c r="U16" t="s">
        <v>541</v>
      </c>
      <c r="V16" t="s">
        <v>541</v>
      </c>
      <c r="W16" t="s">
        <v>546</v>
      </c>
      <c r="X16" t="s">
        <v>541</v>
      </c>
      <c r="Y16" t="s">
        <v>545</v>
      </c>
      <c r="Z16" t="s">
        <v>547</v>
      </c>
      <c r="AA16" t="s">
        <v>548</v>
      </c>
      <c r="AB16" t="s">
        <v>548</v>
      </c>
      <c r="AC16" t="s">
        <v>541</v>
      </c>
      <c r="AD16" t="s">
        <v>541</v>
      </c>
      <c r="AE16" t="s">
        <v>541</v>
      </c>
      <c r="AF16" t="s">
        <v>545</v>
      </c>
      <c r="AG16" t="s">
        <v>549</v>
      </c>
      <c r="AH16" t="s">
        <v>550</v>
      </c>
      <c r="AI16" t="s">
        <v>551</v>
      </c>
      <c r="AJ16" t="s">
        <v>552</v>
      </c>
      <c r="AK16" s="17" t="s">
        <v>553</v>
      </c>
      <c r="AL16" s="17" t="s">
        <v>554</v>
      </c>
      <c r="AM16" s="17" t="s">
        <v>555</v>
      </c>
      <c r="AN16" s="17" t="s">
        <v>554</v>
      </c>
      <c r="AO16" s="28" t="s">
        <v>556</v>
      </c>
      <c r="AP16" s="30" t="s">
        <v>556</v>
      </c>
      <c r="AQ16" s="29" t="s">
        <v>557</v>
      </c>
      <c r="AR16" s="33" t="s">
        <v>558</v>
      </c>
    </row>
    <row r="17" spans="1:44">
      <c r="A17" t="s">
        <v>559</v>
      </c>
      <c r="B17" t="s">
        <v>559</v>
      </c>
      <c r="C17" t="s">
        <v>559</v>
      </c>
      <c r="D17" t="s">
        <v>559</v>
      </c>
      <c r="E17" t="s">
        <v>559</v>
      </c>
      <c r="F17" t="s">
        <v>559</v>
      </c>
      <c r="G17" t="s">
        <v>559</v>
      </c>
      <c r="H17" t="s">
        <v>559</v>
      </c>
      <c r="I17" t="s">
        <v>560</v>
      </c>
      <c r="J17" t="s">
        <v>559</v>
      </c>
      <c r="K17" t="s">
        <v>559</v>
      </c>
      <c r="L17" t="s">
        <v>559</v>
      </c>
      <c r="M17" t="s">
        <v>561</v>
      </c>
      <c r="N17" t="s">
        <v>559</v>
      </c>
      <c r="O17" t="s">
        <v>562</v>
      </c>
      <c r="P17" t="s">
        <v>559</v>
      </c>
      <c r="Q17" t="s">
        <v>559</v>
      </c>
      <c r="R17" t="s">
        <v>562</v>
      </c>
      <c r="S17" t="s">
        <v>559</v>
      </c>
      <c r="T17" t="s">
        <v>559</v>
      </c>
      <c r="U17" t="s">
        <v>559</v>
      </c>
      <c r="V17" t="s">
        <v>559</v>
      </c>
      <c r="W17" t="s">
        <v>559</v>
      </c>
      <c r="X17" t="s">
        <v>559</v>
      </c>
      <c r="Y17" t="s">
        <v>562</v>
      </c>
      <c r="Z17" t="s">
        <v>562</v>
      </c>
      <c r="AA17" t="s">
        <v>559</v>
      </c>
      <c r="AB17" t="s">
        <v>563</v>
      </c>
      <c r="AC17" t="s">
        <v>564</v>
      </c>
      <c r="AD17" t="s">
        <v>559</v>
      </c>
      <c r="AE17" t="s">
        <v>559</v>
      </c>
      <c r="AF17" t="s">
        <v>565</v>
      </c>
      <c r="AG17" t="s">
        <v>566</v>
      </c>
      <c r="AH17" t="s">
        <v>567</v>
      </c>
      <c r="AI17" t="s">
        <v>568</v>
      </c>
      <c r="AJ17" t="s">
        <v>569</v>
      </c>
      <c r="AK17" s="17" t="s">
        <v>570</v>
      </c>
      <c r="AL17" s="17" t="s">
        <v>571</v>
      </c>
      <c r="AM17" s="17" t="s">
        <v>572</v>
      </c>
      <c r="AN17" s="17" t="s">
        <v>573</v>
      </c>
      <c r="AO17" s="28" t="s">
        <v>574</v>
      </c>
      <c r="AP17" s="30" t="s">
        <v>574</v>
      </c>
      <c r="AQ17" s="29" t="s">
        <v>575</v>
      </c>
      <c r="AR17" s="33" t="s">
        <v>576</v>
      </c>
    </row>
    <row r="18" spans="1:44">
      <c r="A18" t="s">
        <v>577</v>
      </c>
      <c r="B18" t="s">
        <v>577</v>
      </c>
      <c r="C18" t="s">
        <v>577</v>
      </c>
      <c r="D18" t="s">
        <v>577</v>
      </c>
      <c r="E18" t="s">
        <v>578</v>
      </c>
      <c r="F18" t="s">
        <v>577</v>
      </c>
      <c r="G18" t="s">
        <v>577</v>
      </c>
      <c r="H18" t="s">
        <v>577</v>
      </c>
      <c r="I18" t="s">
        <v>579</v>
      </c>
      <c r="J18" t="s">
        <v>577</v>
      </c>
      <c r="K18" t="s">
        <v>577</v>
      </c>
      <c r="L18" t="s">
        <v>577</v>
      </c>
      <c r="M18" t="s">
        <v>580</v>
      </c>
      <c r="N18" t="s">
        <v>581</v>
      </c>
      <c r="O18" t="s">
        <v>582</v>
      </c>
      <c r="P18" t="s">
        <v>583</v>
      </c>
      <c r="Q18" t="s">
        <v>577</v>
      </c>
      <c r="R18" t="s">
        <v>584</v>
      </c>
      <c r="S18" t="s">
        <v>585</v>
      </c>
      <c r="T18" t="s">
        <v>585</v>
      </c>
      <c r="U18" t="s">
        <v>586</v>
      </c>
      <c r="V18" t="s">
        <v>581</v>
      </c>
      <c r="W18" t="s">
        <v>581</v>
      </c>
      <c r="X18" t="s">
        <v>577</v>
      </c>
      <c r="Y18" t="s">
        <v>582</v>
      </c>
      <c r="Z18" t="s">
        <v>587</v>
      </c>
      <c r="AA18" t="s">
        <v>588</v>
      </c>
      <c r="AB18" t="s">
        <v>589</v>
      </c>
      <c r="AC18" t="s">
        <v>590</v>
      </c>
      <c r="AD18" t="s">
        <v>577</v>
      </c>
      <c r="AE18" t="s">
        <v>591</v>
      </c>
      <c r="AF18" t="s">
        <v>592</v>
      </c>
      <c r="AG18" t="s">
        <v>593</v>
      </c>
      <c r="AH18" t="s">
        <v>594</v>
      </c>
      <c r="AI18" t="s">
        <v>595</v>
      </c>
      <c r="AJ18" t="s">
        <v>596</v>
      </c>
      <c r="AK18" s="17" t="s">
        <v>597</v>
      </c>
      <c r="AL18" s="17" t="s">
        <v>598</v>
      </c>
      <c r="AM18" s="17" t="s">
        <v>599</v>
      </c>
      <c r="AN18" s="17" t="s">
        <v>600</v>
      </c>
      <c r="AO18" s="28" t="s">
        <v>601</v>
      </c>
      <c r="AP18" s="30" t="s">
        <v>601</v>
      </c>
      <c r="AQ18" s="29" t="s">
        <v>602</v>
      </c>
      <c r="AR18" s="33" t="s">
        <v>603</v>
      </c>
    </row>
    <row r="19" spans="1:44">
      <c r="A19" t="s">
        <v>604</v>
      </c>
      <c r="B19" t="s">
        <v>605</v>
      </c>
      <c r="C19" t="s">
        <v>606</v>
      </c>
      <c r="D19" t="s">
        <v>607</v>
      </c>
      <c r="E19" t="s">
        <v>607</v>
      </c>
      <c r="F19" t="s">
        <v>608</v>
      </c>
      <c r="G19" t="s">
        <v>609</v>
      </c>
      <c r="H19" t="s">
        <v>607</v>
      </c>
      <c r="I19" t="s">
        <v>606</v>
      </c>
      <c r="J19" t="s">
        <v>605</v>
      </c>
      <c r="K19" t="s">
        <v>605</v>
      </c>
      <c r="L19" t="s">
        <v>605</v>
      </c>
      <c r="M19" t="s">
        <v>610</v>
      </c>
      <c r="N19" t="s">
        <v>611</v>
      </c>
      <c r="O19" t="s">
        <v>612</v>
      </c>
      <c r="P19" t="s">
        <v>613</v>
      </c>
      <c r="Q19" t="s">
        <v>614</v>
      </c>
      <c r="R19" t="s">
        <v>615</v>
      </c>
      <c r="S19" t="s">
        <v>616</v>
      </c>
      <c r="T19" t="s">
        <v>617</v>
      </c>
      <c r="U19" t="s">
        <v>614</v>
      </c>
      <c r="V19" t="s">
        <v>607</v>
      </c>
      <c r="W19" t="s">
        <v>607</v>
      </c>
      <c r="X19" t="s">
        <v>614</v>
      </c>
      <c r="Y19" t="s">
        <v>612</v>
      </c>
      <c r="Z19" t="s">
        <v>618</v>
      </c>
      <c r="AA19" t="s">
        <v>619</v>
      </c>
      <c r="AB19" t="s">
        <v>620</v>
      </c>
      <c r="AC19" t="s">
        <v>621</v>
      </c>
      <c r="AD19" t="s">
        <v>607</v>
      </c>
      <c r="AE19" t="s">
        <v>607</v>
      </c>
      <c r="AF19" t="s">
        <v>622</v>
      </c>
      <c r="AG19" t="s">
        <v>623</v>
      </c>
      <c r="AH19" t="s">
        <v>624</v>
      </c>
      <c r="AI19" t="s">
        <v>625</v>
      </c>
      <c r="AJ19" t="s">
        <v>626</v>
      </c>
      <c r="AK19" s="17" t="s">
        <v>627</v>
      </c>
      <c r="AL19" s="17" t="s">
        <v>628</v>
      </c>
      <c r="AM19" s="17" t="s">
        <v>629</v>
      </c>
      <c r="AN19" s="17" t="s">
        <v>630</v>
      </c>
      <c r="AO19" s="28" t="s">
        <v>631</v>
      </c>
      <c r="AP19" s="30" t="s">
        <v>631</v>
      </c>
      <c r="AQ19" s="29" t="s">
        <v>632</v>
      </c>
      <c r="AR19" s="33" t="s">
        <v>633</v>
      </c>
    </row>
    <row r="20" spans="1:44">
      <c r="A20" t="s">
        <v>634</v>
      </c>
      <c r="B20" t="s">
        <v>634</v>
      </c>
      <c r="C20" t="s">
        <v>634</v>
      </c>
      <c r="D20" t="s">
        <v>634</v>
      </c>
      <c r="E20" t="s">
        <v>634</v>
      </c>
      <c r="F20" t="s">
        <v>635</v>
      </c>
      <c r="G20" t="s">
        <v>634</v>
      </c>
      <c r="H20" t="s">
        <v>634</v>
      </c>
      <c r="I20" t="s">
        <v>636</v>
      </c>
      <c r="J20" t="s">
        <v>637</v>
      </c>
      <c r="K20" t="s">
        <v>634</v>
      </c>
      <c r="L20" t="s">
        <v>634</v>
      </c>
      <c r="M20" t="s">
        <v>638</v>
      </c>
      <c r="N20" t="s">
        <v>635</v>
      </c>
      <c r="O20" t="s">
        <v>639</v>
      </c>
      <c r="P20" t="s">
        <v>640</v>
      </c>
      <c r="Q20" t="s">
        <v>635</v>
      </c>
      <c r="R20" t="s">
        <v>639</v>
      </c>
      <c r="S20" t="s">
        <v>634</v>
      </c>
      <c r="T20" t="s">
        <v>634</v>
      </c>
      <c r="U20" t="s">
        <v>635</v>
      </c>
      <c r="V20" t="s">
        <v>634</v>
      </c>
      <c r="W20" t="s">
        <v>635</v>
      </c>
      <c r="X20" t="s">
        <v>635</v>
      </c>
      <c r="Y20" t="s">
        <v>639</v>
      </c>
      <c r="Z20" t="s">
        <v>639</v>
      </c>
      <c r="AA20" t="s">
        <v>635</v>
      </c>
      <c r="AB20" t="s">
        <v>641</v>
      </c>
      <c r="AC20" t="s">
        <v>634</v>
      </c>
      <c r="AD20" t="s">
        <v>634</v>
      </c>
      <c r="AE20" t="s">
        <v>634</v>
      </c>
      <c r="AF20" t="s">
        <v>642</v>
      </c>
      <c r="AG20" t="s">
        <v>643</v>
      </c>
      <c r="AH20" t="s">
        <v>644</v>
      </c>
      <c r="AI20" t="s">
        <v>645</v>
      </c>
      <c r="AJ20" t="s">
        <v>646</v>
      </c>
      <c r="AK20" s="17" t="s">
        <v>647</v>
      </c>
      <c r="AL20" s="17" t="s">
        <v>648</v>
      </c>
      <c r="AM20" s="17" t="s">
        <v>647</v>
      </c>
      <c r="AN20" s="17" t="s">
        <v>649</v>
      </c>
      <c r="AO20" s="28" t="s">
        <v>650</v>
      </c>
      <c r="AP20" s="30" t="s">
        <v>651</v>
      </c>
      <c r="AQ20" s="29" t="s">
        <v>652</v>
      </c>
      <c r="AR20" s="33" t="s">
        <v>653</v>
      </c>
    </row>
    <row r="21" spans="1:44">
      <c r="A21" t="s">
        <v>654</v>
      </c>
      <c r="B21" t="s">
        <v>654</v>
      </c>
      <c r="C21" t="s">
        <v>655</v>
      </c>
      <c r="D21" t="s">
        <v>656</v>
      </c>
      <c r="E21" t="s">
        <v>654</v>
      </c>
      <c r="F21" t="s">
        <v>657</v>
      </c>
      <c r="G21" t="s">
        <v>658</v>
      </c>
      <c r="H21" t="s">
        <v>654</v>
      </c>
      <c r="I21" t="s">
        <v>659</v>
      </c>
      <c r="J21" t="s">
        <v>654</v>
      </c>
      <c r="K21" t="s">
        <v>654</v>
      </c>
      <c r="L21" t="s">
        <v>654</v>
      </c>
      <c r="M21" t="s">
        <v>660</v>
      </c>
      <c r="N21" t="s">
        <v>661</v>
      </c>
      <c r="O21" t="s">
        <v>662</v>
      </c>
      <c r="P21" t="s">
        <v>663</v>
      </c>
      <c r="Q21" t="s">
        <v>664</v>
      </c>
      <c r="R21" t="s">
        <v>665</v>
      </c>
      <c r="S21" t="s">
        <v>654</v>
      </c>
      <c r="T21" t="s">
        <v>654</v>
      </c>
      <c r="U21" t="s">
        <v>666</v>
      </c>
      <c r="V21" t="s">
        <v>667</v>
      </c>
      <c r="W21" t="s">
        <v>668</v>
      </c>
      <c r="X21" t="s">
        <v>664</v>
      </c>
      <c r="Y21" t="s">
        <v>669</v>
      </c>
      <c r="Z21" t="s">
        <v>669</v>
      </c>
      <c r="AA21" t="s">
        <v>670</v>
      </c>
      <c r="AB21" t="s">
        <v>671</v>
      </c>
      <c r="AC21" t="s">
        <v>672</v>
      </c>
      <c r="AD21" t="s">
        <v>659</v>
      </c>
      <c r="AE21" t="s">
        <v>673</v>
      </c>
      <c r="AF21" t="s">
        <v>674</v>
      </c>
      <c r="AG21" t="s">
        <v>675</v>
      </c>
      <c r="AH21" t="s">
        <v>676</v>
      </c>
      <c r="AI21" t="s">
        <v>677</v>
      </c>
      <c r="AJ21" t="s">
        <v>678</v>
      </c>
      <c r="AK21" s="17" t="s">
        <v>679</v>
      </c>
      <c r="AL21" s="17" t="s">
        <v>680</v>
      </c>
      <c r="AM21" s="17" t="s">
        <v>681</v>
      </c>
      <c r="AN21" s="17" t="s">
        <v>682</v>
      </c>
      <c r="AO21" s="28" t="s">
        <v>683</v>
      </c>
      <c r="AP21" s="30" t="s">
        <v>684</v>
      </c>
      <c r="AQ21" s="29" t="s">
        <v>685</v>
      </c>
      <c r="AR21" s="33" t="s">
        <v>686</v>
      </c>
    </row>
    <row r="22" spans="1:44">
      <c r="A22" t="s">
        <v>687</v>
      </c>
      <c r="B22" t="s">
        <v>688</v>
      </c>
      <c r="C22" t="s">
        <v>689</v>
      </c>
      <c r="D22" t="s">
        <v>690</v>
      </c>
      <c r="E22" t="s">
        <v>691</v>
      </c>
      <c r="F22" t="s">
        <v>692</v>
      </c>
      <c r="G22" t="s">
        <v>693</v>
      </c>
      <c r="H22" t="s">
        <v>694</v>
      </c>
      <c r="I22" t="s">
        <v>695</v>
      </c>
      <c r="J22" t="s">
        <v>696</v>
      </c>
      <c r="K22" t="s">
        <v>688</v>
      </c>
      <c r="L22" t="s">
        <v>697</v>
      </c>
      <c r="M22" t="s">
        <v>698</v>
      </c>
      <c r="N22" t="s">
        <v>699</v>
      </c>
      <c r="O22" t="s">
        <v>700</v>
      </c>
      <c r="P22" t="s">
        <v>701</v>
      </c>
      <c r="Q22" t="s">
        <v>702</v>
      </c>
      <c r="R22" t="s">
        <v>703</v>
      </c>
      <c r="S22" t="s">
        <v>704</v>
      </c>
      <c r="T22" t="s">
        <v>705</v>
      </c>
      <c r="U22" t="s">
        <v>702</v>
      </c>
      <c r="V22" t="s">
        <v>706</v>
      </c>
      <c r="W22" t="s">
        <v>707</v>
      </c>
      <c r="X22" t="s">
        <v>702</v>
      </c>
      <c r="Y22" t="s">
        <v>700</v>
      </c>
      <c r="Z22" t="s">
        <v>708</v>
      </c>
      <c r="AA22" t="s">
        <v>709</v>
      </c>
      <c r="AB22" t="s">
        <v>710</v>
      </c>
      <c r="AC22" t="s">
        <v>711</v>
      </c>
      <c r="AD22" t="s">
        <v>712</v>
      </c>
      <c r="AE22" t="s">
        <v>713</v>
      </c>
      <c r="AF22" t="s">
        <v>714</v>
      </c>
      <c r="AG22" t="s">
        <v>715</v>
      </c>
      <c r="AH22" t="s">
        <v>716</v>
      </c>
      <c r="AI22" t="s">
        <v>717</v>
      </c>
      <c r="AJ22" t="s">
        <v>718</v>
      </c>
      <c r="AK22" s="18" t="s">
        <v>719</v>
      </c>
      <c r="AL22" s="18" t="s">
        <v>720</v>
      </c>
      <c r="AM22" s="18" t="s">
        <v>721</v>
      </c>
      <c r="AN22" s="18" t="s">
        <v>722</v>
      </c>
      <c r="AO22" s="28" t="s">
        <v>723</v>
      </c>
      <c r="AP22" s="30" t="s">
        <v>723</v>
      </c>
      <c r="AQ22" s="29" t="s">
        <v>724</v>
      </c>
      <c r="AR22" s="33" t="s">
        <v>725</v>
      </c>
    </row>
    <row r="23" spans="1:44">
      <c r="A23" t="s">
        <v>726</v>
      </c>
      <c r="B23" t="s">
        <v>727</v>
      </c>
      <c r="C23" t="s">
        <v>728</v>
      </c>
      <c r="D23" t="s">
        <v>729</v>
      </c>
      <c r="E23" t="s">
        <v>730</v>
      </c>
      <c r="F23" t="s">
        <v>729</v>
      </c>
      <c r="G23" t="s">
        <v>731</v>
      </c>
      <c r="H23" t="s">
        <v>729</v>
      </c>
      <c r="I23" t="s">
        <v>732</v>
      </c>
      <c r="J23" t="s">
        <v>727</v>
      </c>
      <c r="K23" t="s">
        <v>727</v>
      </c>
      <c r="L23" t="s">
        <v>727</v>
      </c>
      <c r="M23" t="s">
        <v>733</v>
      </c>
      <c r="N23" t="s">
        <v>734</v>
      </c>
      <c r="O23" t="s">
        <v>735</v>
      </c>
      <c r="P23" t="s">
        <v>736</v>
      </c>
      <c r="Q23" t="s">
        <v>726</v>
      </c>
      <c r="R23" t="s">
        <v>737</v>
      </c>
      <c r="S23" t="s">
        <v>738</v>
      </c>
      <c r="T23" t="s">
        <v>736</v>
      </c>
      <c r="U23" t="s">
        <v>739</v>
      </c>
      <c r="V23" t="s">
        <v>740</v>
      </c>
      <c r="W23" t="s">
        <v>741</v>
      </c>
      <c r="X23" t="s">
        <v>726</v>
      </c>
      <c r="Y23" t="s">
        <v>735</v>
      </c>
      <c r="Z23" t="s">
        <v>742</v>
      </c>
      <c r="AA23" t="s">
        <v>743</v>
      </c>
      <c r="AB23" t="s">
        <v>744</v>
      </c>
      <c r="AC23" t="s">
        <v>726</v>
      </c>
      <c r="AD23" t="s">
        <v>729</v>
      </c>
      <c r="AE23" t="s">
        <v>726</v>
      </c>
      <c r="AF23" t="s">
        <v>737</v>
      </c>
      <c r="AG23" t="s">
        <v>745</v>
      </c>
      <c r="AH23" t="s">
        <v>746</v>
      </c>
      <c r="AI23" t="s">
        <v>747</v>
      </c>
      <c r="AJ23" t="s">
        <v>748</v>
      </c>
      <c r="AK23" s="17" t="s">
        <v>749</v>
      </c>
      <c r="AL23" s="17" t="s">
        <v>750</v>
      </c>
      <c r="AM23" s="17" t="s">
        <v>751</v>
      </c>
      <c r="AN23" s="17" t="s">
        <v>752</v>
      </c>
      <c r="AO23" s="28" t="s">
        <v>753</v>
      </c>
      <c r="AP23" s="30" t="s">
        <v>753</v>
      </c>
      <c r="AQ23" s="29" t="s">
        <v>754</v>
      </c>
      <c r="AR23" s="33" t="s">
        <v>755</v>
      </c>
    </row>
    <row r="24" spans="1:44">
      <c r="A24" t="s">
        <v>756</v>
      </c>
      <c r="B24" t="s">
        <v>757</v>
      </c>
      <c r="C24" t="s">
        <v>758</v>
      </c>
      <c r="D24" t="s">
        <v>759</v>
      </c>
      <c r="E24" t="s">
        <v>760</v>
      </c>
      <c r="F24" t="s">
        <v>761</v>
      </c>
      <c r="G24" t="s">
        <v>762</v>
      </c>
      <c r="H24" t="s">
        <v>763</v>
      </c>
      <c r="I24" t="s">
        <v>764</v>
      </c>
      <c r="J24" t="s">
        <v>757</v>
      </c>
      <c r="K24" t="s">
        <v>757</v>
      </c>
      <c r="L24" t="s">
        <v>757</v>
      </c>
      <c r="M24" t="s">
        <v>765</v>
      </c>
      <c r="N24" t="s">
        <v>766</v>
      </c>
      <c r="O24" t="s">
        <v>767</v>
      </c>
      <c r="P24" t="s">
        <v>768</v>
      </c>
      <c r="Q24" t="s">
        <v>769</v>
      </c>
      <c r="R24" t="s">
        <v>770</v>
      </c>
      <c r="S24" t="s">
        <v>771</v>
      </c>
      <c r="T24" t="s">
        <v>772</v>
      </c>
      <c r="U24" t="s">
        <v>773</v>
      </c>
      <c r="V24" t="s">
        <v>774</v>
      </c>
      <c r="W24" t="s">
        <v>775</v>
      </c>
      <c r="X24" t="s">
        <v>769</v>
      </c>
      <c r="Y24" t="s">
        <v>776</v>
      </c>
      <c r="Z24" t="s">
        <v>777</v>
      </c>
      <c r="AA24" t="s">
        <v>778</v>
      </c>
      <c r="AB24" t="s">
        <v>779</v>
      </c>
      <c r="AC24" t="s">
        <v>756</v>
      </c>
      <c r="AD24" t="s">
        <v>780</v>
      </c>
      <c r="AE24" t="s">
        <v>756</v>
      </c>
      <c r="AF24" t="s">
        <v>781</v>
      </c>
      <c r="AG24" t="s">
        <v>782</v>
      </c>
      <c r="AH24" t="s">
        <v>783</v>
      </c>
      <c r="AI24" t="s">
        <v>784</v>
      </c>
      <c r="AJ24" t="s">
        <v>785</v>
      </c>
      <c r="AK24" s="17" t="s">
        <v>786</v>
      </c>
      <c r="AL24" s="17" t="s">
        <v>787</v>
      </c>
      <c r="AM24" s="17" t="s">
        <v>788</v>
      </c>
      <c r="AN24" s="17" t="s">
        <v>789</v>
      </c>
      <c r="AO24" s="28" t="s">
        <v>790</v>
      </c>
      <c r="AP24" s="30" t="s">
        <v>791</v>
      </c>
      <c r="AQ24" s="29" t="s">
        <v>792</v>
      </c>
      <c r="AR24" s="33" t="s">
        <v>793</v>
      </c>
    </row>
    <row r="25" spans="1:44">
      <c r="A25" t="s">
        <v>794</v>
      </c>
      <c r="B25" t="s">
        <v>795</v>
      </c>
      <c r="C25" t="s">
        <v>796</v>
      </c>
      <c r="D25" t="s">
        <v>794</v>
      </c>
      <c r="E25" t="s">
        <v>794</v>
      </c>
      <c r="F25" t="s">
        <v>797</v>
      </c>
      <c r="G25" t="s">
        <v>798</v>
      </c>
      <c r="H25" t="s">
        <v>794</v>
      </c>
      <c r="I25" t="s">
        <v>799</v>
      </c>
      <c r="J25" t="s">
        <v>795</v>
      </c>
      <c r="K25" t="s">
        <v>795</v>
      </c>
      <c r="L25" t="s">
        <v>795</v>
      </c>
      <c r="M25" t="s">
        <v>800</v>
      </c>
      <c r="N25" t="s">
        <v>794</v>
      </c>
      <c r="O25" t="s">
        <v>801</v>
      </c>
      <c r="P25" t="s">
        <v>802</v>
      </c>
      <c r="Q25" t="s">
        <v>803</v>
      </c>
      <c r="R25" t="s">
        <v>804</v>
      </c>
      <c r="S25" t="s">
        <v>805</v>
      </c>
      <c r="T25" t="s">
        <v>797</v>
      </c>
      <c r="U25" t="s">
        <v>806</v>
      </c>
      <c r="V25" t="s">
        <v>794</v>
      </c>
      <c r="W25" t="s">
        <v>794</v>
      </c>
      <c r="X25" t="s">
        <v>803</v>
      </c>
      <c r="Y25" t="s">
        <v>801</v>
      </c>
      <c r="Z25" t="s">
        <v>807</v>
      </c>
      <c r="AA25" t="s">
        <v>808</v>
      </c>
      <c r="AB25" t="s">
        <v>809</v>
      </c>
      <c r="AC25" t="s">
        <v>810</v>
      </c>
      <c r="AD25" t="s">
        <v>794</v>
      </c>
      <c r="AE25" t="s">
        <v>794</v>
      </c>
      <c r="AF25" t="s">
        <v>811</v>
      </c>
      <c r="AG25" t="s">
        <v>812</v>
      </c>
      <c r="AH25" t="s">
        <v>813</v>
      </c>
      <c r="AI25" t="s">
        <v>814</v>
      </c>
      <c r="AJ25" t="s">
        <v>815</v>
      </c>
      <c r="AK25" s="17" t="s">
        <v>816</v>
      </c>
      <c r="AL25" s="17" t="s">
        <v>817</v>
      </c>
      <c r="AM25" s="17" t="s">
        <v>818</v>
      </c>
      <c r="AN25" s="17" t="s">
        <v>819</v>
      </c>
      <c r="AO25" s="28" t="s">
        <v>820</v>
      </c>
      <c r="AP25" s="30" t="s">
        <v>820</v>
      </c>
      <c r="AQ25" s="29" t="s">
        <v>821</v>
      </c>
      <c r="AR25" s="33" t="s">
        <v>822</v>
      </c>
    </row>
    <row r="26" spans="1:44">
      <c r="A26" t="s">
        <v>823</v>
      </c>
      <c r="B26" t="s">
        <v>823</v>
      </c>
      <c r="C26" t="s">
        <v>824</v>
      </c>
      <c r="D26" t="s">
        <v>825</v>
      </c>
      <c r="E26" t="s">
        <v>826</v>
      </c>
      <c r="F26" t="s">
        <v>827</v>
      </c>
      <c r="G26" t="s">
        <v>823</v>
      </c>
      <c r="H26" t="s">
        <v>823</v>
      </c>
      <c r="I26" t="s">
        <v>823</v>
      </c>
      <c r="J26" t="s">
        <v>823</v>
      </c>
      <c r="K26" t="s">
        <v>823</v>
      </c>
      <c r="L26" t="s">
        <v>823</v>
      </c>
      <c r="M26" t="s">
        <v>828</v>
      </c>
      <c r="N26" t="s">
        <v>829</v>
      </c>
      <c r="O26" t="s">
        <v>830</v>
      </c>
      <c r="P26" t="s">
        <v>825</v>
      </c>
      <c r="Q26" t="s">
        <v>823</v>
      </c>
      <c r="R26" t="s">
        <v>831</v>
      </c>
      <c r="S26" t="s">
        <v>832</v>
      </c>
      <c r="T26" t="s">
        <v>832</v>
      </c>
      <c r="U26" t="s">
        <v>833</v>
      </c>
      <c r="V26" t="s">
        <v>829</v>
      </c>
      <c r="W26" t="s">
        <v>829</v>
      </c>
      <c r="X26" t="s">
        <v>823</v>
      </c>
      <c r="Y26" t="s">
        <v>830</v>
      </c>
      <c r="Z26" t="s">
        <v>834</v>
      </c>
      <c r="AA26" t="s">
        <v>835</v>
      </c>
      <c r="AB26" t="s">
        <v>836</v>
      </c>
      <c r="AC26" t="s">
        <v>837</v>
      </c>
      <c r="AD26" t="s">
        <v>838</v>
      </c>
      <c r="AE26" t="s">
        <v>823</v>
      </c>
      <c r="AF26" t="s">
        <v>839</v>
      </c>
      <c r="AG26" t="s">
        <v>840</v>
      </c>
      <c r="AH26" t="s">
        <v>841</v>
      </c>
      <c r="AI26" t="s">
        <v>842</v>
      </c>
      <c r="AJ26" t="s">
        <v>843</v>
      </c>
      <c r="AK26" s="17" t="s">
        <v>844</v>
      </c>
      <c r="AL26" s="17" t="s">
        <v>845</v>
      </c>
      <c r="AM26" s="17" t="s">
        <v>846</v>
      </c>
      <c r="AN26" s="17" t="s">
        <v>847</v>
      </c>
      <c r="AO26" s="28" t="s">
        <v>848</v>
      </c>
      <c r="AP26" s="30" t="s">
        <v>848</v>
      </c>
      <c r="AQ26" s="29" t="s">
        <v>848</v>
      </c>
      <c r="AR26" s="33" t="s">
        <v>849</v>
      </c>
    </row>
    <row r="27" spans="1:44">
      <c r="A27" t="s">
        <v>850</v>
      </c>
      <c r="B27" t="s">
        <v>851</v>
      </c>
      <c r="C27" t="s">
        <v>850</v>
      </c>
      <c r="D27" t="s">
        <v>852</v>
      </c>
      <c r="E27" t="s">
        <v>852</v>
      </c>
      <c r="F27" t="s">
        <v>853</v>
      </c>
      <c r="G27" t="s">
        <v>854</v>
      </c>
      <c r="H27" t="s">
        <v>855</v>
      </c>
      <c r="I27" t="s">
        <v>856</v>
      </c>
      <c r="J27" t="s">
        <v>855</v>
      </c>
      <c r="K27" t="s">
        <v>857</v>
      </c>
      <c r="L27" t="s">
        <v>858</v>
      </c>
      <c r="M27" t="s">
        <v>859</v>
      </c>
      <c r="N27" t="s">
        <v>860</v>
      </c>
      <c r="O27" t="s">
        <v>861</v>
      </c>
      <c r="P27" t="s">
        <v>862</v>
      </c>
      <c r="Q27" t="s">
        <v>863</v>
      </c>
      <c r="R27" t="s">
        <v>864</v>
      </c>
      <c r="S27" t="s">
        <v>865</v>
      </c>
      <c r="T27" t="s">
        <v>866</v>
      </c>
      <c r="U27" t="s">
        <v>867</v>
      </c>
      <c r="V27" t="s">
        <v>868</v>
      </c>
      <c r="W27" t="s">
        <v>869</v>
      </c>
      <c r="X27" t="s">
        <v>863</v>
      </c>
      <c r="Y27" t="s">
        <v>861</v>
      </c>
      <c r="Z27" t="s">
        <v>870</v>
      </c>
      <c r="AA27" t="s">
        <v>871</v>
      </c>
      <c r="AB27" t="s">
        <v>871</v>
      </c>
      <c r="AC27" t="s">
        <v>872</v>
      </c>
      <c r="AD27" t="s">
        <v>873</v>
      </c>
      <c r="AE27" t="s">
        <v>874</v>
      </c>
      <c r="AF27" t="s">
        <v>875</v>
      </c>
      <c r="AG27" t="s">
        <v>876</v>
      </c>
      <c r="AH27" t="s">
        <v>877</v>
      </c>
      <c r="AI27" t="s">
        <v>878</v>
      </c>
      <c r="AJ27" t="s">
        <v>879</v>
      </c>
      <c r="AK27" s="17" t="s">
        <v>880</v>
      </c>
      <c r="AL27" s="17" t="s">
        <v>881</v>
      </c>
      <c r="AM27" s="17" t="s">
        <v>882</v>
      </c>
      <c r="AN27" s="17" t="s">
        <v>883</v>
      </c>
      <c r="AO27" s="28" t="s">
        <v>884</v>
      </c>
      <c r="AP27" s="30" t="s">
        <v>885</v>
      </c>
      <c r="AQ27" s="29" t="s">
        <v>886</v>
      </c>
      <c r="AR27" s="33" t="s">
        <v>887</v>
      </c>
    </row>
    <row r="28" spans="1:44">
      <c r="A28" t="s">
        <v>888</v>
      </c>
      <c r="B28" t="s">
        <v>889</v>
      </c>
      <c r="C28" t="s">
        <v>890</v>
      </c>
      <c r="D28" t="s">
        <v>891</v>
      </c>
      <c r="E28" t="s">
        <v>892</v>
      </c>
      <c r="F28" t="s">
        <v>893</v>
      </c>
      <c r="G28" t="s">
        <v>894</v>
      </c>
      <c r="H28" t="s">
        <v>895</v>
      </c>
      <c r="I28" t="s">
        <v>896</v>
      </c>
      <c r="J28" t="s">
        <v>889</v>
      </c>
      <c r="K28" t="s">
        <v>897</v>
      </c>
      <c r="L28" t="s">
        <v>889</v>
      </c>
      <c r="M28" t="s">
        <v>898</v>
      </c>
      <c r="N28" t="s">
        <v>899</v>
      </c>
      <c r="O28" t="s">
        <v>900</v>
      </c>
      <c r="P28" t="s">
        <v>901</v>
      </c>
      <c r="Q28" t="s">
        <v>902</v>
      </c>
      <c r="R28" t="s">
        <v>903</v>
      </c>
      <c r="S28" t="s">
        <v>904</v>
      </c>
      <c r="T28" t="s">
        <v>905</v>
      </c>
      <c r="U28" t="s">
        <v>906</v>
      </c>
      <c r="V28" t="s">
        <v>907</v>
      </c>
      <c r="W28" t="s">
        <v>908</v>
      </c>
      <c r="X28" t="s">
        <v>902</v>
      </c>
      <c r="Y28" t="s">
        <v>900</v>
      </c>
      <c r="Z28" t="s">
        <v>909</v>
      </c>
      <c r="AA28" t="s">
        <v>910</v>
      </c>
      <c r="AB28" t="s">
        <v>911</v>
      </c>
      <c r="AC28" t="s">
        <v>912</v>
      </c>
      <c r="AD28" t="s">
        <v>34</v>
      </c>
      <c r="AE28" t="s">
        <v>913</v>
      </c>
      <c r="AF28" t="s">
        <v>914</v>
      </c>
      <c r="AG28" t="s">
        <v>915</v>
      </c>
      <c r="AH28" t="s">
        <v>916</v>
      </c>
      <c r="AI28" t="s">
        <v>917</v>
      </c>
      <c r="AJ28" t="s">
        <v>918</v>
      </c>
      <c r="AK28" s="17" t="s">
        <v>919</v>
      </c>
      <c r="AL28" s="17" t="s">
        <v>920</v>
      </c>
      <c r="AM28" s="17" t="s">
        <v>921</v>
      </c>
      <c r="AN28" s="17" t="s">
        <v>922</v>
      </c>
      <c r="AO28" s="28" t="s">
        <v>923</v>
      </c>
      <c r="AP28" s="30" t="s">
        <v>923</v>
      </c>
      <c r="AQ28" s="29" t="s">
        <v>924</v>
      </c>
      <c r="AR28" s="33" t="s">
        <v>925</v>
      </c>
    </row>
    <row r="29" spans="1:44">
      <c r="A29" t="s">
        <v>926</v>
      </c>
      <c r="B29" t="s">
        <v>927</v>
      </c>
      <c r="C29" t="s">
        <v>928</v>
      </c>
      <c r="D29" t="s">
        <v>929</v>
      </c>
      <c r="E29" t="s">
        <v>930</v>
      </c>
      <c r="F29" t="s">
        <v>931</v>
      </c>
      <c r="G29" t="s">
        <v>932</v>
      </c>
      <c r="H29" t="s">
        <v>933</v>
      </c>
      <c r="I29" t="s">
        <v>934</v>
      </c>
      <c r="J29" t="s">
        <v>935</v>
      </c>
      <c r="K29" t="s">
        <v>936</v>
      </c>
      <c r="L29" t="s">
        <v>937</v>
      </c>
      <c r="M29" t="s">
        <v>938</v>
      </c>
      <c r="N29" t="s">
        <v>939</v>
      </c>
      <c r="O29" t="s">
        <v>940</v>
      </c>
      <c r="P29" t="s">
        <v>941</v>
      </c>
      <c r="Q29" t="s">
        <v>942</v>
      </c>
      <c r="R29" t="s">
        <v>943</v>
      </c>
      <c r="S29" t="s">
        <v>944</v>
      </c>
      <c r="T29" t="s">
        <v>945</v>
      </c>
      <c r="U29" t="s">
        <v>942</v>
      </c>
      <c r="V29" t="s">
        <v>946</v>
      </c>
      <c r="W29" t="s">
        <v>947</v>
      </c>
      <c r="X29" t="s">
        <v>942</v>
      </c>
      <c r="Y29" t="s">
        <v>948</v>
      </c>
      <c r="Z29" t="s">
        <v>949</v>
      </c>
      <c r="AA29" t="s">
        <v>950</v>
      </c>
      <c r="AB29" t="s">
        <v>951</v>
      </c>
      <c r="AC29" t="s">
        <v>952</v>
      </c>
      <c r="AD29" t="s">
        <v>953</v>
      </c>
      <c r="AE29" t="s">
        <v>954</v>
      </c>
      <c r="AF29" t="s">
        <v>955</v>
      </c>
      <c r="AG29" t="s">
        <v>956</v>
      </c>
      <c r="AH29" t="s">
        <v>957</v>
      </c>
      <c r="AI29" t="s">
        <v>958</v>
      </c>
      <c r="AJ29" t="s">
        <v>959</v>
      </c>
      <c r="AK29" s="17" t="s">
        <v>960</v>
      </c>
      <c r="AL29" s="17" t="s">
        <v>961</v>
      </c>
      <c r="AM29" s="17" t="s">
        <v>962</v>
      </c>
      <c r="AN29" s="17" t="s">
        <v>963</v>
      </c>
      <c r="AO29" s="28" t="s">
        <v>964</v>
      </c>
      <c r="AP29" s="30" t="s">
        <v>965</v>
      </c>
      <c r="AQ29" s="29" t="s">
        <v>966</v>
      </c>
      <c r="AR29" s="33" t="s">
        <v>967</v>
      </c>
    </row>
    <row r="30" spans="1:44">
      <c r="A30" t="s">
        <v>968</v>
      </c>
      <c r="B30" t="s">
        <v>968</v>
      </c>
      <c r="C30" t="s">
        <v>968</v>
      </c>
      <c r="D30" t="s">
        <v>968</v>
      </c>
      <c r="E30" t="s">
        <v>968</v>
      </c>
      <c r="F30" t="s">
        <v>968</v>
      </c>
      <c r="G30" t="s">
        <v>968</v>
      </c>
      <c r="H30" t="s">
        <v>968</v>
      </c>
      <c r="I30" t="s">
        <v>969</v>
      </c>
      <c r="J30" t="s">
        <v>968</v>
      </c>
      <c r="K30" t="s">
        <v>968</v>
      </c>
      <c r="L30" t="s">
        <v>968</v>
      </c>
      <c r="M30" t="s">
        <v>970</v>
      </c>
      <c r="N30" t="s">
        <v>968</v>
      </c>
      <c r="O30" t="s">
        <v>971</v>
      </c>
      <c r="P30" t="s">
        <v>968</v>
      </c>
      <c r="Q30" t="s">
        <v>968</v>
      </c>
      <c r="R30" t="s">
        <v>971</v>
      </c>
      <c r="S30" t="s">
        <v>968</v>
      </c>
      <c r="T30" t="s">
        <v>968</v>
      </c>
      <c r="U30" t="s">
        <v>968</v>
      </c>
      <c r="V30" t="s">
        <v>968</v>
      </c>
      <c r="W30" t="s">
        <v>968</v>
      </c>
      <c r="X30" t="s">
        <v>968</v>
      </c>
      <c r="Y30" t="s">
        <v>971</v>
      </c>
      <c r="Z30" t="s">
        <v>971</v>
      </c>
      <c r="AA30" t="s">
        <v>968</v>
      </c>
      <c r="AB30" t="s">
        <v>972</v>
      </c>
      <c r="AC30" t="s">
        <v>968</v>
      </c>
      <c r="AD30" t="s">
        <v>968</v>
      </c>
      <c r="AE30" t="s">
        <v>968</v>
      </c>
      <c r="AF30" t="s">
        <v>971</v>
      </c>
      <c r="AG30" t="s">
        <v>973</v>
      </c>
      <c r="AH30" t="s">
        <v>974</v>
      </c>
      <c r="AI30" t="s">
        <v>975</v>
      </c>
      <c r="AJ30" t="s">
        <v>976</v>
      </c>
      <c r="AK30" s="17" t="s">
        <v>977</v>
      </c>
      <c r="AL30" s="17" t="s">
        <v>978</v>
      </c>
      <c r="AM30" s="17" t="s">
        <v>979</v>
      </c>
      <c r="AN30" s="17" t="s">
        <v>980</v>
      </c>
      <c r="AO30" s="28" t="s">
        <v>981</v>
      </c>
      <c r="AP30" s="30" t="s">
        <v>981</v>
      </c>
      <c r="AQ30" s="29" t="s">
        <v>982</v>
      </c>
      <c r="AR30" s="33" t="s">
        <v>983</v>
      </c>
    </row>
    <row r="31" spans="1:44">
      <c r="A31" t="s">
        <v>984</v>
      </c>
      <c r="B31" t="s">
        <v>985</v>
      </c>
      <c r="C31" t="s">
        <v>986</v>
      </c>
      <c r="D31" t="s">
        <v>987</v>
      </c>
      <c r="E31" t="s">
        <v>988</v>
      </c>
      <c r="F31" t="s">
        <v>989</v>
      </c>
      <c r="G31" t="s">
        <v>990</v>
      </c>
      <c r="H31" t="s">
        <v>991</v>
      </c>
      <c r="I31" t="s">
        <v>992</v>
      </c>
      <c r="J31" t="s">
        <v>985</v>
      </c>
      <c r="K31" t="s">
        <v>993</v>
      </c>
      <c r="L31" t="s">
        <v>985</v>
      </c>
      <c r="M31" t="s">
        <v>994</v>
      </c>
      <c r="N31" t="s">
        <v>995</v>
      </c>
      <c r="O31" t="s">
        <v>996</v>
      </c>
      <c r="P31" t="s">
        <v>997</v>
      </c>
      <c r="Q31" t="s">
        <v>998</v>
      </c>
      <c r="R31" t="s">
        <v>999</v>
      </c>
      <c r="S31" t="s">
        <v>1000</v>
      </c>
      <c r="T31" t="s">
        <v>1001</v>
      </c>
      <c r="U31" t="s">
        <v>1002</v>
      </c>
      <c r="V31" t="s">
        <v>991</v>
      </c>
      <c r="W31" t="s">
        <v>1003</v>
      </c>
      <c r="X31" t="s">
        <v>1002</v>
      </c>
      <c r="Y31" t="s">
        <v>996</v>
      </c>
      <c r="Z31" t="s">
        <v>1004</v>
      </c>
      <c r="AA31" t="s">
        <v>1005</v>
      </c>
      <c r="AB31" t="s">
        <v>1006</v>
      </c>
      <c r="AC31" t="s">
        <v>1007</v>
      </c>
      <c r="AD31" t="s">
        <v>1008</v>
      </c>
      <c r="AE31" t="s">
        <v>991</v>
      </c>
      <c r="AF31" t="s">
        <v>1009</v>
      </c>
      <c r="AG31" t="s">
        <v>1010</v>
      </c>
      <c r="AH31" t="s">
        <v>1011</v>
      </c>
      <c r="AI31" t="s">
        <v>1012</v>
      </c>
      <c r="AJ31" t="s">
        <v>1013</v>
      </c>
      <c r="AK31" s="17" t="s">
        <v>1014</v>
      </c>
      <c r="AL31" s="17" t="s">
        <v>1015</v>
      </c>
      <c r="AM31" s="17" t="s">
        <v>1016</v>
      </c>
      <c r="AN31" s="17" t="s">
        <v>1017</v>
      </c>
      <c r="AO31" s="28" t="s">
        <v>1018</v>
      </c>
      <c r="AP31" s="30" t="s">
        <v>1018</v>
      </c>
      <c r="AQ31" s="29" t="s">
        <v>1019</v>
      </c>
      <c r="AR31" s="33" t="s">
        <v>1020</v>
      </c>
    </row>
    <row r="32" spans="1:44">
      <c r="A32" t="s">
        <v>1021</v>
      </c>
      <c r="B32" t="s">
        <v>1021</v>
      </c>
      <c r="C32" t="s">
        <v>1021</v>
      </c>
      <c r="D32" t="s">
        <v>1022</v>
      </c>
      <c r="E32" t="s">
        <v>1023</v>
      </c>
      <c r="F32" t="s">
        <v>1024</v>
      </c>
      <c r="G32" t="s">
        <v>1021</v>
      </c>
      <c r="H32" t="s">
        <v>1025</v>
      </c>
      <c r="I32" t="s">
        <v>1021</v>
      </c>
      <c r="J32" t="s">
        <v>1025</v>
      </c>
      <c r="K32" t="s">
        <v>1021</v>
      </c>
      <c r="L32" t="s">
        <v>1021</v>
      </c>
      <c r="M32" t="s">
        <v>1026</v>
      </c>
      <c r="N32" t="s">
        <v>1025</v>
      </c>
      <c r="O32" t="s">
        <v>1027</v>
      </c>
      <c r="P32" t="s">
        <v>1028</v>
      </c>
      <c r="Q32" t="s">
        <v>1029</v>
      </c>
      <c r="R32" t="s">
        <v>1030</v>
      </c>
      <c r="S32" t="s">
        <v>1029</v>
      </c>
      <c r="T32" t="s">
        <v>1029</v>
      </c>
      <c r="U32" t="s">
        <v>1029</v>
      </c>
      <c r="V32" t="s">
        <v>1023</v>
      </c>
      <c r="W32" t="s">
        <v>1025</v>
      </c>
      <c r="X32" t="s">
        <v>1029</v>
      </c>
      <c r="Y32" t="s">
        <v>1031</v>
      </c>
      <c r="Z32" t="s">
        <v>1032</v>
      </c>
      <c r="AA32" t="s">
        <v>1033</v>
      </c>
      <c r="AB32" t="s">
        <v>1033</v>
      </c>
      <c r="AC32" t="s">
        <v>1025</v>
      </c>
      <c r="AD32" t="s">
        <v>1025</v>
      </c>
      <c r="AE32" t="s">
        <v>1021</v>
      </c>
      <c r="AF32" t="s">
        <v>1034</v>
      </c>
      <c r="AG32" t="s">
        <v>1035</v>
      </c>
      <c r="AH32" t="s">
        <v>1036</v>
      </c>
      <c r="AI32" t="s">
        <v>1037</v>
      </c>
      <c r="AJ32" t="s">
        <v>1038</v>
      </c>
      <c r="AK32" s="17" t="s">
        <v>1039</v>
      </c>
      <c r="AL32" s="17" t="s">
        <v>1040</v>
      </c>
      <c r="AM32" s="17" t="s">
        <v>1041</v>
      </c>
      <c r="AN32" s="17" t="s">
        <v>1042</v>
      </c>
      <c r="AO32" s="28" t="s">
        <v>1043</v>
      </c>
      <c r="AP32" s="30" t="s">
        <v>1044</v>
      </c>
      <c r="AQ32" s="29" t="s">
        <v>1045</v>
      </c>
      <c r="AR32" s="33" t="s">
        <v>1046</v>
      </c>
    </row>
    <row r="33" spans="1:44">
      <c r="A33" t="s">
        <v>1047</v>
      </c>
      <c r="B33" t="s">
        <v>1048</v>
      </c>
      <c r="C33" t="s">
        <v>1049</v>
      </c>
      <c r="D33" t="s">
        <v>1050</v>
      </c>
      <c r="E33" t="s">
        <v>1047</v>
      </c>
      <c r="F33" t="s">
        <v>1051</v>
      </c>
      <c r="G33" t="s">
        <v>1052</v>
      </c>
      <c r="H33" t="s">
        <v>1047</v>
      </c>
      <c r="I33" t="s">
        <v>1053</v>
      </c>
      <c r="J33" t="s">
        <v>1054</v>
      </c>
      <c r="K33" t="s">
        <v>1048</v>
      </c>
      <c r="L33" t="s">
        <v>1048</v>
      </c>
      <c r="M33" t="s">
        <v>1055</v>
      </c>
      <c r="N33" t="s">
        <v>1056</v>
      </c>
      <c r="O33" t="s">
        <v>1057</v>
      </c>
      <c r="P33" t="s">
        <v>1058</v>
      </c>
      <c r="Q33" t="s">
        <v>1059</v>
      </c>
      <c r="R33" t="s">
        <v>1057</v>
      </c>
      <c r="S33" t="s">
        <v>1060</v>
      </c>
      <c r="T33" t="s">
        <v>1060</v>
      </c>
      <c r="U33" t="s">
        <v>1061</v>
      </c>
      <c r="V33" t="s">
        <v>1047</v>
      </c>
      <c r="W33" t="s">
        <v>1062</v>
      </c>
      <c r="X33" t="s">
        <v>1059</v>
      </c>
      <c r="Y33" t="s">
        <v>1057</v>
      </c>
      <c r="Z33" t="s">
        <v>1063</v>
      </c>
      <c r="AA33" t="s">
        <v>1064</v>
      </c>
      <c r="AB33" t="s">
        <v>1059</v>
      </c>
      <c r="AC33" t="s">
        <v>1065</v>
      </c>
      <c r="AD33" t="s">
        <v>1047</v>
      </c>
      <c r="AE33" t="s">
        <v>1047</v>
      </c>
      <c r="AF33" t="s">
        <v>1066</v>
      </c>
      <c r="AG33" t="s">
        <v>1067</v>
      </c>
      <c r="AH33" t="s">
        <v>1068</v>
      </c>
      <c r="AI33" t="s">
        <v>1069</v>
      </c>
      <c r="AJ33" t="s">
        <v>1070</v>
      </c>
      <c r="AK33" s="17" t="s">
        <v>1071</v>
      </c>
      <c r="AL33" s="17" t="s">
        <v>1071</v>
      </c>
      <c r="AM33" s="17" t="s">
        <v>1071</v>
      </c>
      <c r="AN33" s="17" t="s">
        <v>1072</v>
      </c>
      <c r="AO33" s="28" t="s">
        <v>1073</v>
      </c>
      <c r="AP33" s="30" t="s">
        <v>1074</v>
      </c>
      <c r="AQ33" s="29" t="s">
        <v>1075</v>
      </c>
      <c r="AR33" s="33" t="s">
        <v>1076</v>
      </c>
    </row>
    <row r="34" spans="1:44">
      <c r="A34" t="s">
        <v>1077</v>
      </c>
      <c r="B34" t="s">
        <v>1078</v>
      </c>
      <c r="C34" t="s">
        <v>1079</v>
      </c>
      <c r="D34" t="s">
        <v>1080</v>
      </c>
      <c r="E34" t="s">
        <v>1081</v>
      </c>
      <c r="F34" t="s">
        <v>1082</v>
      </c>
      <c r="G34" t="s">
        <v>1083</v>
      </c>
      <c r="H34" t="s">
        <v>1077</v>
      </c>
      <c r="I34" t="s">
        <v>1084</v>
      </c>
      <c r="J34" t="s">
        <v>1078</v>
      </c>
      <c r="K34" t="s">
        <v>1085</v>
      </c>
      <c r="L34" t="s">
        <v>1086</v>
      </c>
      <c r="M34" t="s">
        <v>1087</v>
      </c>
      <c r="N34" t="s">
        <v>1088</v>
      </c>
      <c r="O34" t="s">
        <v>1089</v>
      </c>
      <c r="P34" t="s">
        <v>1090</v>
      </c>
      <c r="Q34" t="s">
        <v>1091</v>
      </c>
      <c r="R34" t="s">
        <v>1092</v>
      </c>
      <c r="S34" t="s">
        <v>1093</v>
      </c>
      <c r="T34" t="s">
        <v>1094</v>
      </c>
      <c r="U34" t="s">
        <v>1095</v>
      </c>
      <c r="V34" t="s">
        <v>1081</v>
      </c>
      <c r="W34" t="s">
        <v>1096</v>
      </c>
      <c r="X34" t="s">
        <v>1091</v>
      </c>
      <c r="Y34" t="s">
        <v>1097</v>
      </c>
      <c r="Z34" t="s">
        <v>1098</v>
      </c>
      <c r="AA34" t="s">
        <v>1099</v>
      </c>
      <c r="AB34" t="s">
        <v>1100</v>
      </c>
      <c r="AC34" t="s">
        <v>1101</v>
      </c>
      <c r="AD34" t="s">
        <v>1102</v>
      </c>
      <c r="AE34" t="s">
        <v>1103</v>
      </c>
      <c r="AF34" t="s">
        <v>1104</v>
      </c>
      <c r="AG34" t="s">
        <v>1105</v>
      </c>
      <c r="AH34" t="s">
        <v>1106</v>
      </c>
      <c r="AI34" t="s">
        <v>1107</v>
      </c>
      <c r="AJ34" t="s">
        <v>1108</v>
      </c>
      <c r="AK34" s="17" t="s">
        <v>1109</v>
      </c>
      <c r="AL34" s="17" t="s">
        <v>1110</v>
      </c>
      <c r="AM34" s="17" t="s">
        <v>1111</v>
      </c>
      <c r="AN34" s="17" t="s">
        <v>1112</v>
      </c>
      <c r="AO34" s="28" t="s">
        <v>1113</v>
      </c>
      <c r="AP34" s="30" t="s">
        <v>1114</v>
      </c>
      <c r="AQ34" s="29" t="s">
        <v>1115</v>
      </c>
      <c r="AR34" s="33" t="s">
        <v>1116</v>
      </c>
    </row>
    <row r="35" spans="1:44">
      <c r="A35" t="s">
        <v>1117</v>
      </c>
      <c r="B35" t="s">
        <v>1118</v>
      </c>
      <c r="C35" t="s">
        <v>1118</v>
      </c>
      <c r="D35" t="s">
        <v>1119</v>
      </c>
      <c r="E35" t="s">
        <v>1120</v>
      </c>
      <c r="F35" t="s">
        <v>1120</v>
      </c>
      <c r="G35" t="s">
        <v>1117</v>
      </c>
      <c r="H35" t="s">
        <v>1120</v>
      </c>
      <c r="I35" t="s">
        <v>1121</v>
      </c>
      <c r="J35" t="s">
        <v>1120</v>
      </c>
      <c r="K35" t="s">
        <v>1122</v>
      </c>
      <c r="L35" t="s">
        <v>1120</v>
      </c>
      <c r="M35" t="s">
        <v>1123</v>
      </c>
      <c r="N35" t="s">
        <v>1124</v>
      </c>
      <c r="O35" t="s">
        <v>1125</v>
      </c>
      <c r="P35" t="s">
        <v>1126</v>
      </c>
      <c r="Q35" t="s">
        <v>1117</v>
      </c>
      <c r="R35" t="s">
        <v>1125</v>
      </c>
      <c r="S35" t="s">
        <v>1120</v>
      </c>
      <c r="T35" t="s">
        <v>1120</v>
      </c>
      <c r="U35" t="s">
        <v>1117</v>
      </c>
      <c r="V35" t="s">
        <v>1120</v>
      </c>
      <c r="W35" t="s">
        <v>8</v>
      </c>
      <c r="X35" t="s">
        <v>1127</v>
      </c>
      <c r="Y35" t="s">
        <v>1128</v>
      </c>
      <c r="Z35" t="s">
        <v>1128</v>
      </c>
      <c r="AA35" t="s">
        <v>1118</v>
      </c>
      <c r="AB35" t="s">
        <v>1129</v>
      </c>
      <c r="AC35" t="s">
        <v>1130</v>
      </c>
      <c r="AD35" t="s">
        <v>1131</v>
      </c>
      <c r="AE35" t="s">
        <v>1117</v>
      </c>
      <c r="AF35" t="s">
        <v>1132</v>
      </c>
      <c r="AG35" t="s">
        <v>1117</v>
      </c>
      <c r="AH35" t="s">
        <v>1133</v>
      </c>
      <c r="AI35" t="s">
        <v>1134</v>
      </c>
      <c r="AJ35" t="s">
        <v>1135</v>
      </c>
      <c r="AK35" s="17" t="s">
        <v>1136</v>
      </c>
      <c r="AL35" s="17" t="s">
        <v>1137</v>
      </c>
      <c r="AM35" s="17" t="s">
        <v>1138</v>
      </c>
      <c r="AN35" s="17" t="s">
        <v>1139</v>
      </c>
      <c r="AO35" s="32" t="s">
        <v>1140</v>
      </c>
      <c r="AP35" s="30" t="s">
        <v>1141</v>
      </c>
      <c r="AQ35" s="29" t="s">
        <v>1140</v>
      </c>
      <c r="AR35" s="33" t="s">
        <v>1142</v>
      </c>
    </row>
    <row r="36" spans="1:44">
      <c r="A36" t="s">
        <v>1143</v>
      </c>
      <c r="B36" t="s">
        <v>1144</v>
      </c>
      <c r="C36" t="s">
        <v>1145</v>
      </c>
      <c r="D36" t="s">
        <v>1146</v>
      </c>
      <c r="E36" t="s">
        <v>1145</v>
      </c>
      <c r="F36" t="s">
        <v>1147</v>
      </c>
      <c r="G36" t="s">
        <v>1118</v>
      </c>
      <c r="H36" t="s">
        <v>1144</v>
      </c>
      <c r="I36" t="s">
        <v>1144</v>
      </c>
      <c r="J36" t="s">
        <v>1148</v>
      </c>
      <c r="K36" t="s">
        <v>1149</v>
      </c>
      <c r="L36" t="s">
        <v>1144</v>
      </c>
      <c r="M36" t="s">
        <v>1150</v>
      </c>
      <c r="N36" t="s">
        <v>11</v>
      </c>
      <c r="O36" t="s">
        <v>1151</v>
      </c>
      <c r="P36" t="s">
        <v>1143</v>
      </c>
      <c r="Q36" t="s">
        <v>1143</v>
      </c>
      <c r="R36" t="s">
        <v>1152</v>
      </c>
      <c r="S36" t="s">
        <v>11</v>
      </c>
      <c r="T36" t="s">
        <v>11</v>
      </c>
      <c r="U36" t="s">
        <v>1143</v>
      </c>
      <c r="V36" t="s">
        <v>1147</v>
      </c>
      <c r="W36" t="s">
        <v>1153</v>
      </c>
      <c r="X36" t="s">
        <v>1154</v>
      </c>
      <c r="Y36" t="s">
        <v>1152</v>
      </c>
      <c r="Z36" t="s">
        <v>1152</v>
      </c>
      <c r="AA36" t="s">
        <v>1153</v>
      </c>
      <c r="AB36" t="s">
        <v>1155</v>
      </c>
      <c r="AC36" t="s">
        <v>1156</v>
      </c>
      <c r="AD36" t="s">
        <v>1121</v>
      </c>
      <c r="AE36" t="s">
        <v>1143</v>
      </c>
      <c r="AF36" t="s">
        <v>1157</v>
      </c>
      <c r="AG36" t="s">
        <v>1143</v>
      </c>
      <c r="AH36" t="s">
        <v>1158</v>
      </c>
      <c r="AI36" t="s">
        <v>1159</v>
      </c>
      <c r="AJ36" t="s">
        <v>1160</v>
      </c>
      <c r="AK36" s="17" t="s">
        <v>1161</v>
      </c>
      <c r="AL36" s="17" t="s">
        <v>1162</v>
      </c>
      <c r="AM36" s="17" t="s">
        <v>1163</v>
      </c>
      <c r="AN36" s="17" t="s">
        <v>1164</v>
      </c>
      <c r="AO36" s="32" t="s">
        <v>1165</v>
      </c>
      <c r="AP36" s="30" t="s">
        <v>1165</v>
      </c>
      <c r="AQ36" s="29" t="s">
        <v>1166</v>
      </c>
      <c r="AR36" s="33" t="s">
        <v>1167</v>
      </c>
    </row>
    <row r="37" spans="1:44">
      <c r="A37" t="s">
        <v>1168</v>
      </c>
      <c r="B37" t="s">
        <v>1120</v>
      </c>
      <c r="C37" t="s">
        <v>1169</v>
      </c>
      <c r="D37" t="s">
        <v>1170</v>
      </c>
      <c r="E37" t="s">
        <v>1169</v>
      </c>
      <c r="F37" t="s">
        <v>1143</v>
      </c>
      <c r="G37" t="s">
        <v>1120</v>
      </c>
      <c r="H37" t="s">
        <v>1171</v>
      </c>
      <c r="I37" t="s">
        <v>1145</v>
      </c>
      <c r="J37" t="s">
        <v>8</v>
      </c>
      <c r="K37" t="s">
        <v>1120</v>
      </c>
      <c r="L37" t="s">
        <v>1171</v>
      </c>
      <c r="M37" t="s">
        <v>1172</v>
      </c>
      <c r="N37" t="s">
        <v>1169</v>
      </c>
      <c r="O37" t="s">
        <v>1173</v>
      </c>
      <c r="P37" t="s">
        <v>1120</v>
      </c>
      <c r="Q37" t="s">
        <v>1168</v>
      </c>
      <c r="R37" t="s">
        <v>1174</v>
      </c>
      <c r="S37" t="s">
        <v>1169</v>
      </c>
      <c r="T37" t="s">
        <v>1169</v>
      </c>
      <c r="U37" t="s">
        <v>1168</v>
      </c>
      <c r="V37" t="s">
        <v>621</v>
      </c>
      <c r="W37" t="s">
        <v>1155</v>
      </c>
      <c r="X37" t="s">
        <v>1175</v>
      </c>
      <c r="Y37" t="s">
        <v>1125</v>
      </c>
      <c r="Z37" t="s">
        <v>1125</v>
      </c>
      <c r="AA37" t="s">
        <v>1131</v>
      </c>
      <c r="AB37" t="s">
        <v>1131</v>
      </c>
      <c r="AC37" t="s">
        <v>1176</v>
      </c>
      <c r="AD37" t="s">
        <v>1177</v>
      </c>
      <c r="AE37" t="s">
        <v>1168</v>
      </c>
      <c r="AF37" t="s">
        <v>1178</v>
      </c>
      <c r="AG37" t="s">
        <v>1168</v>
      </c>
      <c r="AH37" t="s">
        <v>1179</v>
      </c>
      <c r="AI37" t="s">
        <v>1180</v>
      </c>
      <c r="AJ37" t="s">
        <v>1181</v>
      </c>
      <c r="AK37" s="17" t="s">
        <v>1182</v>
      </c>
      <c r="AL37" s="17" t="s">
        <v>1183</v>
      </c>
      <c r="AM37" s="17" t="s">
        <v>1184</v>
      </c>
      <c r="AN37" s="17" t="s">
        <v>1185</v>
      </c>
      <c r="AO37" s="32" t="s">
        <v>1186</v>
      </c>
      <c r="AP37" s="30" t="s">
        <v>1187</v>
      </c>
      <c r="AQ37" s="29" t="s">
        <v>1186</v>
      </c>
      <c r="AR37" s="33" t="s">
        <v>1188</v>
      </c>
    </row>
    <row r="38" spans="1:44">
      <c r="A38" t="s">
        <v>1189</v>
      </c>
      <c r="B38" t="s">
        <v>1190</v>
      </c>
      <c r="C38" t="s">
        <v>1191</v>
      </c>
      <c r="D38" t="s">
        <v>1192</v>
      </c>
      <c r="E38" t="s">
        <v>1193</v>
      </c>
      <c r="F38" t="s">
        <v>1194</v>
      </c>
      <c r="G38" t="s">
        <v>1189</v>
      </c>
      <c r="H38" t="s">
        <v>1195</v>
      </c>
      <c r="I38" t="s">
        <v>1189</v>
      </c>
      <c r="J38" t="s">
        <v>1196</v>
      </c>
      <c r="K38" t="s">
        <v>1197</v>
      </c>
      <c r="L38" t="s">
        <v>1198</v>
      </c>
      <c r="M38" t="s">
        <v>1199</v>
      </c>
      <c r="N38" t="s">
        <v>1200</v>
      </c>
      <c r="O38" t="s">
        <v>1201</v>
      </c>
      <c r="P38" t="s">
        <v>1202</v>
      </c>
      <c r="Q38" t="s">
        <v>1189</v>
      </c>
      <c r="R38" t="s">
        <v>1203</v>
      </c>
      <c r="S38" t="s">
        <v>1204</v>
      </c>
      <c r="T38" t="s">
        <v>1204</v>
      </c>
      <c r="U38" t="s">
        <v>1189</v>
      </c>
      <c r="V38" t="s">
        <v>1205</v>
      </c>
      <c r="W38" t="s">
        <v>1206</v>
      </c>
      <c r="X38" t="s">
        <v>1207</v>
      </c>
      <c r="Y38" t="s">
        <v>1208</v>
      </c>
      <c r="Z38" t="s">
        <v>1208</v>
      </c>
      <c r="AA38" t="s">
        <v>1209</v>
      </c>
      <c r="AB38" t="s">
        <v>1210</v>
      </c>
      <c r="AC38" t="s">
        <v>1211</v>
      </c>
      <c r="AD38" t="s">
        <v>1212</v>
      </c>
      <c r="AE38" t="s">
        <v>1189</v>
      </c>
      <c r="AF38" t="s">
        <v>1213</v>
      </c>
      <c r="AG38" t="s">
        <v>1189</v>
      </c>
      <c r="AH38" t="s">
        <v>1214</v>
      </c>
      <c r="AI38" t="s">
        <v>1215</v>
      </c>
      <c r="AJ38" t="s">
        <v>1216</v>
      </c>
      <c r="AK38" s="17" t="s">
        <v>1217</v>
      </c>
      <c r="AL38" s="17" t="s">
        <v>1218</v>
      </c>
      <c r="AM38" s="17" t="s">
        <v>1219</v>
      </c>
      <c r="AN38" s="17" t="s">
        <v>1220</v>
      </c>
      <c r="AO38" s="32" t="s">
        <v>1221</v>
      </c>
      <c r="AP38" s="30" t="s">
        <v>1221</v>
      </c>
      <c r="AQ38" s="29" t="s">
        <v>1221</v>
      </c>
      <c r="AR38" s="33" t="s">
        <v>1222</v>
      </c>
    </row>
    <row r="39" spans="1:44">
      <c r="A39" t="s">
        <v>10</v>
      </c>
      <c r="B39" t="s">
        <v>1223</v>
      </c>
      <c r="C39" t="s">
        <v>1224</v>
      </c>
      <c r="D39" t="s">
        <v>1224</v>
      </c>
      <c r="E39" t="s">
        <v>1225</v>
      </c>
      <c r="F39" t="s">
        <v>1226</v>
      </c>
      <c r="G39" t="s">
        <v>1227</v>
      </c>
      <c r="H39" t="s">
        <v>1228</v>
      </c>
      <c r="I39" t="s">
        <v>10</v>
      </c>
      <c r="J39" t="s">
        <v>1229</v>
      </c>
      <c r="K39" t="s">
        <v>1223</v>
      </c>
      <c r="L39" t="s">
        <v>1230</v>
      </c>
      <c r="M39" t="s">
        <v>1231</v>
      </c>
      <c r="N39" t="s">
        <v>1223</v>
      </c>
      <c r="O39" t="s">
        <v>1232</v>
      </c>
      <c r="P39" t="s">
        <v>1233</v>
      </c>
      <c r="Q39" t="s">
        <v>1234</v>
      </c>
      <c r="R39" t="s">
        <v>1235</v>
      </c>
      <c r="S39" t="s">
        <v>1236</v>
      </c>
      <c r="T39" t="s">
        <v>1236</v>
      </c>
      <c r="U39" t="s">
        <v>1237</v>
      </c>
      <c r="V39" t="s">
        <v>1238</v>
      </c>
      <c r="W39" t="s">
        <v>1239</v>
      </c>
      <c r="X39" t="s">
        <v>1240</v>
      </c>
      <c r="Y39" t="s">
        <v>1241</v>
      </c>
      <c r="Z39" t="s">
        <v>1242</v>
      </c>
      <c r="AA39" t="s">
        <v>1243</v>
      </c>
      <c r="AB39" t="s">
        <v>1244</v>
      </c>
      <c r="AC39" t="s">
        <v>1245</v>
      </c>
      <c r="AD39" t="s">
        <v>1246</v>
      </c>
      <c r="AE39" t="s">
        <v>10</v>
      </c>
      <c r="AF39" t="s">
        <v>1247</v>
      </c>
      <c r="AG39" t="s">
        <v>10</v>
      </c>
      <c r="AH39" t="s">
        <v>1248</v>
      </c>
      <c r="AI39" t="s">
        <v>1249</v>
      </c>
      <c r="AJ39" t="s">
        <v>1250</v>
      </c>
      <c r="AK39" s="17" t="s">
        <v>1251</v>
      </c>
      <c r="AL39" s="17" t="s">
        <v>1252</v>
      </c>
      <c r="AM39" s="17" t="s">
        <v>1253</v>
      </c>
      <c r="AN39" s="17" t="s">
        <v>1254</v>
      </c>
      <c r="AO39" s="32" t="s">
        <v>1255</v>
      </c>
      <c r="AP39" s="30" t="s">
        <v>1256</v>
      </c>
      <c r="AQ39" s="29" t="s">
        <v>1257</v>
      </c>
      <c r="AR39" s="33" t="s">
        <v>1258</v>
      </c>
    </row>
    <row r="40" spans="1:44">
      <c r="A40" t="s">
        <v>1259</v>
      </c>
      <c r="B40" t="s">
        <v>1260</v>
      </c>
      <c r="C40" t="s">
        <v>1261</v>
      </c>
      <c r="D40" t="s">
        <v>1262</v>
      </c>
      <c r="E40" t="s">
        <v>1263</v>
      </c>
      <c r="F40" t="s">
        <v>1262</v>
      </c>
      <c r="G40" t="s">
        <v>1264</v>
      </c>
      <c r="H40" t="s">
        <v>1260</v>
      </c>
      <c r="I40" t="s">
        <v>1265</v>
      </c>
      <c r="J40" t="s">
        <v>1266</v>
      </c>
      <c r="K40" t="s">
        <v>1266</v>
      </c>
      <c r="L40" t="s">
        <v>1260</v>
      </c>
      <c r="M40" t="s">
        <v>1267</v>
      </c>
      <c r="N40" t="s">
        <v>1268</v>
      </c>
      <c r="O40" t="s">
        <v>1269</v>
      </c>
      <c r="P40" t="s">
        <v>1270</v>
      </c>
      <c r="Q40" t="s">
        <v>1268</v>
      </c>
      <c r="R40" t="s">
        <v>1269</v>
      </c>
      <c r="S40" t="s">
        <v>1271</v>
      </c>
      <c r="T40" t="s">
        <v>1271</v>
      </c>
      <c r="U40" t="s">
        <v>1271</v>
      </c>
      <c r="V40" t="s">
        <v>1268</v>
      </c>
      <c r="W40" t="s">
        <v>1272</v>
      </c>
      <c r="X40" t="s">
        <v>1268</v>
      </c>
      <c r="Y40" t="s">
        <v>1273</v>
      </c>
      <c r="Z40" t="s">
        <v>1269</v>
      </c>
      <c r="AA40" t="s">
        <v>1274</v>
      </c>
      <c r="AB40" t="s">
        <v>1275</v>
      </c>
      <c r="AC40" t="s">
        <v>1276</v>
      </c>
      <c r="AD40" t="s">
        <v>1274</v>
      </c>
      <c r="AE40" t="s">
        <v>1277</v>
      </c>
      <c r="AF40" t="s">
        <v>1278</v>
      </c>
      <c r="AG40" t="s">
        <v>1279</v>
      </c>
      <c r="AH40" t="s">
        <v>1280</v>
      </c>
      <c r="AI40" t="s">
        <v>1281</v>
      </c>
      <c r="AJ40" t="s">
        <v>1282</v>
      </c>
      <c r="AK40" s="17" t="s">
        <v>1283</v>
      </c>
      <c r="AL40" s="17" t="s">
        <v>1284</v>
      </c>
      <c r="AM40" s="17" t="s">
        <v>1285</v>
      </c>
      <c r="AN40" s="17" t="s">
        <v>1285</v>
      </c>
      <c r="AO40" s="32" t="s">
        <v>1286</v>
      </c>
      <c r="AP40" s="30" t="s">
        <v>1287</v>
      </c>
      <c r="AQ40" s="29" t="s">
        <v>1288</v>
      </c>
      <c r="AR40" s="33" t="s">
        <v>1289</v>
      </c>
    </row>
    <row r="41" spans="1:44">
      <c r="A41" t="s">
        <v>1290</v>
      </c>
      <c r="B41" t="s">
        <v>1291</v>
      </c>
      <c r="C41" t="s">
        <v>1292</v>
      </c>
      <c r="D41" t="s">
        <v>1293</v>
      </c>
      <c r="E41" t="s">
        <v>1294</v>
      </c>
      <c r="F41" t="s">
        <v>1295</v>
      </c>
      <c r="G41" t="s">
        <v>1296</v>
      </c>
      <c r="H41" t="s">
        <v>1297</v>
      </c>
      <c r="I41" t="s">
        <v>1298</v>
      </c>
      <c r="J41" t="s">
        <v>1299</v>
      </c>
      <c r="K41" t="s">
        <v>1300</v>
      </c>
      <c r="L41" t="s">
        <v>1301</v>
      </c>
      <c r="M41" t="s">
        <v>1302</v>
      </c>
      <c r="N41" t="s">
        <v>1303</v>
      </c>
      <c r="O41" t="s">
        <v>1304</v>
      </c>
      <c r="P41" t="s">
        <v>1305</v>
      </c>
      <c r="Q41" t="s">
        <v>1306</v>
      </c>
      <c r="R41" t="s">
        <v>1307</v>
      </c>
      <c r="S41" t="s">
        <v>1308</v>
      </c>
      <c r="T41" t="s">
        <v>1309</v>
      </c>
      <c r="U41" t="s">
        <v>1310</v>
      </c>
      <c r="V41" t="s">
        <v>1311</v>
      </c>
      <c r="W41" t="s">
        <v>1312</v>
      </c>
      <c r="X41" t="s">
        <v>1306</v>
      </c>
      <c r="Y41" t="s">
        <v>1313</v>
      </c>
      <c r="Z41" t="s">
        <v>1314</v>
      </c>
      <c r="AA41" t="s">
        <v>1315</v>
      </c>
      <c r="AB41" t="s">
        <v>1316</v>
      </c>
      <c r="AC41" t="s">
        <v>1317</v>
      </c>
      <c r="AD41" t="s">
        <v>1318</v>
      </c>
      <c r="AE41" t="s">
        <v>1319</v>
      </c>
      <c r="AF41" t="s">
        <v>1320</v>
      </c>
      <c r="AG41" t="s">
        <v>1321</v>
      </c>
      <c r="AH41" t="s">
        <v>1322</v>
      </c>
      <c r="AI41" t="s">
        <v>1323</v>
      </c>
      <c r="AJ41" t="s">
        <v>1324</v>
      </c>
      <c r="AK41" s="17" t="s">
        <v>1325</v>
      </c>
      <c r="AL41" s="17" t="s">
        <v>1326</v>
      </c>
      <c r="AM41" s="17" t="s">
        <v>1327</v>
      </c>
      <c r="AN41" s="17" t="s">
        <v>1328</v>
      </c>
      <c r="AO41" s="32" t="s">
        <v>1329</v>
      </c>
      <c r="AP41" s="32" t="s">
        <v>1330</v>
      </c>
      <c r="AQ41" s="29" t="s">
        <v>1331</v>
      </c>
      <c r="AR41" s="33" t="s">
        <v>1332</v>
      </c>
    </row>
    <row r="42" spans="1:44">
      <c r="A42" t="s">
        <v>1333</v>
      </c>
      <c r="B42" t="s">
        <v>1334</v>
      </c>
      <c r="C42" t="s">
        <v>1335</v>
      </c>
      <c r="D42" t="s">
        <v>1336</v>
      </c>
      <c r="E42" t="s">
        <v>1337</v>
      </c>
      <c r="F42" t="s">
        <v>1338</v>
      </c>
      <c r="G42" t="s">
        <v>1339</v>
      </c>
      <c r="H42" t="s">
        <v>1340</v>
      </c>
      <c r="I42" t="s">
        <v>1341</v>
      </c>
      <c r="J42" t="s">
        <v>1342</v>
      </c>
      <c r="K42" t="s">
        <v>1343</v>
      </c>
      <c r="L42" t="s">
        <v>1344</v>
      </c>
      <c r="M42" t="s">
        <v>1345</v>
      </c>
      <c r="N42" t="s">
        <v>1346</v>
      </c>
      <c r="O42" t="s">
        <v>1347</v>
      </c>
      <c r="P42" t="s">
        <v>1348</v>
      </c>
      <c r="Q42" t="s">
        <v>1349</v>
      </c>
      <c r="R42" t="s">
        <v>1350</v>
      </c>
      <c r="S42" t="s">
        <v>1351</v>
      </c>
      <c r="T42" t="s">
        <v>1351</v>
      </c>
      <c r="U42" t="s">
        <v>1352</v>
      </c>
      <c r="V42" t="s">
        <v>1353</v>
      </c>
      <c r="W42" t="s">
        <v>1354</v>
      </c>
      <c r="X42" t="s">
        <v>1349</v>
      </c>
      <c r="Y42" t="s">
        <v>1355</v>
      </c>
      <c r="Z42" t="s">
        <v>1356</v>
      </c>
      <c r="AA42" t="s">
        <v>1357</v>
      </c>
      <c r="AB42" t="s">
        <v>1358</v>
      </c>
      <c r="AC42" t="s">
        <v>1359</v>
      </c>
      <c r="AD42" t="s">
        <v>1360</v>
      </c>
      <c r="AE42" t="s">
        <v>1361</v>
      </c>
      <c r="AF42" t="s">
        <v>1362</v>
      </c>
      <c r="AG42" t="s">
        <v>1363</v>
      </c>
      <c r="AH42" t="s">
        <v>1364</v>
      </c>
      <c r="AI42" t="s">
        <v>1365</v>
      </c>
      <c r="AJ42" t="s">
        <v>1366</v>
      </c>
      <c r="AK42" s="17" t="s">
        <v>1367</v>
      </c>
      <c r="AL42" s="17" t="s">
        <v>1368</v>
      </c>
      <c r="AM42" s="17" t="s">
        <v>1369</v>
      </c>
      <c r="AN42" s="17" t="s">
        <v>1370</v>
      </c>
      <c r="AO42" s="32" t="s">
        <v>1371</v>
      </c>
      <c r="AP42" s="32" t="s">
        <v>1372</v>
      </c>
      <c r="AQ42" s="29" t="s">
        <v>1373</v>
      </c>
      <c r="AR42" s="33" t="s">
        <v>1374</v>
      </c>
    </row>
    <row r="43" spans="1:44">
      <c r="A43" t="s">
        <v>1375</v>
      </c>
      <c r="B43" t="s">
        <v>1376</v>
      </c>
      <c r="C43" t="s">
        <v>1377</v>
      </c>
      <c r="D43" t="s">
        <v>1378</v>
      </c>
      <c r="E43" t="s">
        <v>1379</v>
      </c>
      <c r="F43" t="s">
        <v>1380</v>
      </c>
      <c r="G43" t="s">
        <v>1381</v>
      </c>
      <c r="H43" t="s">
        <v>1382</v>
      </c>
      <c r="I43" t="s">
        <v>1383</v>
      </c>
      <c r="J43" t="s">
        <v>1384</v>
      </c>
      <c r="K43" t="s">
        <v>1385</v>
      </c>
      <c r="L43" t="s">
        <v>1382</v>
      </c>
      <c r="M43" t="s">
        <v>1386</v>
      </c>
      <c r="N43" t="s">
        <v>1387</v>
      </c>
      <c r="O43" t="s">
        <v>1388</v>
      </c>
      <c r="P43" t="s">
        <v>1389</v>
      </c>
      <c r="Q43" t="s">
        <v>1390</v>
      </c>
      <c r="R43" t="s">
        <v>1391</v>
      </c>
      <c r="S43" t="s">
        <v>1392</v>
      </c>
      <c r="T43" t="s">
        <v>1393</v>
      </c>
      <c r="U43" t="s">
        <v>1394</v>
      </c>
      <c r="V43" t="s">
        <v>1395</v>
      </c>
      <c r="W43" t="s">
        <v>1396</v>
      </c>
      <c r="X43" t="s">
        <v>1390</v>
      </c>
      <c r="Y43" t="s">
        <v>1397</v>
      </c>
      <c r="Z43" t="s">
        <v>1398</v>
      </c>
      <c r="AA43" t="s">
        <v>1399</v>
      </c>
      <c r="AB43" t="s">
        <v>1400</v>
      </c>
      <c r="AC43" t="s">
        <v>1401</v>
      </c>
      <c r="AD43" t="s">
        <v>1402</v>
      </c>
      <c r="AE43" t="s">
        <v>1403</v>
      </c>
      <c r="AF43" t="s">
        <v>1404</v>
      </c>
      <c r="AG43" t="s">
        <v>1405</v>
      </c>
      <c r="AH43" t="s">
        <v>1406</v>
      </c>
      <c r="AI43" t="s">
        <v>1407</v>
      </c>
      <c r="AJ43" t="s">
        <v>1408</v>
      </c>
      <c r="AK43" s="17" t="s">
        <v>1409</v>
      </c>
      <c r="AL43" s="17" t="s">
        <v>1410</v>
      </c>
      <c r="AM43" s="17" t="s">
        <v>1411</v>
      </c>
      <c r="AN43" s="17" t="s">
        <v>1412</v>
      </c>
      <c r="AO43" s="32" t="s">
        <v>1413</v>
      </c>
      <c r="AP43" s="32" t="s">
        <v>1414</v>
      </c>
      <c r="AQ43" s="29" t="s">
        <v>1415</v>
      </c>
      <c r="AR43" s="33" t="s">
        <v>1416</v>
      </c>
    </row>
    <row r="44" spans="1:44">
      <c r="A44" t="s">
        <v>1417</v>
      </c>
      <c r="B44" t="s">
        <v>1418</v>
      </c>
      <c r="C44" t="s">
        <v>1419</v>
      </c>
      <c r="D44" t="s">
        <v>1420</v>
      </c>
      <c r="E44" t="s">
        <v>1421</v>
      </c>
      <c r="F44" t="s">
        <v>1422</v>
      </c>
      <c r="G44" t="s">
        <v>1423</v>
      </c>
      <c r="H44" t="s">
        <v>1424</v>
      </c>
      <c r="I44" t="s">
        <v>1425</v>
      </c>
      <c r="J44" t="s">
        <v>1426</v>
      </c>
      <c r="K44" t="s">
        <v>1427</v>
      </c>
      <c r="L44" t="s">
        <v>1424</v>
      </c>
      <c r="M44" t="s">
        <v>1428</v>
      </c>
      <c r="N44" t="s">
        <v>1429</v>
      </c>
      <c r="O44" t="s">
        <v>1430</v>
      </c>
      <c r="P44" t="s">
        <v>1431</v>
      </c>
      <c r="Q44" t="s">
        <v>1432</v>
      </c>
      <c r="R44" t="s">
        <v>1433</v>
      </c>
      <c r="S44" t="s">
        <v>1434</v>
      </c>
      <c r="T44" t="s">
        <v>1434</v>
      </c>
      <c r="U44" t="s">
        <v>1435</v>
      </c>
      <c r="V44" t="s">
        <v>1436</v>
      </c>
      <c r="W44" t="s">
        <v>1437</v>
      </c>
      <c r="X44" t="s">
        <v>1432</v>
      </c>
      <c r="Y44" t="s">
        <v>1438</v>
      </c>
      <c r="Z44" t="s">
        <v>1439</v>
      </c>
      <c r="AA44" t="s">
        <v>1440</v>
      </c>
      <c r="AB44" t="s">
        <v>1441</v>
      </c>
      <c r="AC44" t="s">
        <v>1442</v>
      </c>
      <c r="AD44" t="s">
        <v>1443</v>
      </c>
      <c r="AE44" t="s">
        <v>1444</v>
      </c>
      <c r="AF44" t="s">
        <v>1445</v>
      </c>
      <c r="AG44" t="s">
        <v>1446</v>
      </c>
      <c r="AH44" t="s">
        <v>1447</v>
      </c>
      <c r="AI44" t="s">
        <v>1448</v>
      </c>
      <c r="AJ44" t="s">
        <v>1449</v>
      </c>
      <c r="AK44" s="17" t="s">
        <v>1450</v>
      </c>
      <c r="AL44" s="17" t="s">
        <v>1451</v>
      </c>
      <c r="AM44" s="17" t="s">
        <v>1452</v>
      </c>
      <c r="AN44" s="17" t="s">
        <v>1453</v>
      </c>
      <c r="AO44" s="32" t="s">
        <v>1454</v>
      </c>
      <c r="AP44" s="30" t="s">
        <v>1455</v>
      </c>
      <c r="AQ44" s="29" t="s">
        <v>1456</v>
      </c>
      <c r="AR44" s="33" t="s">
        <v>1457</v>
      </c>
    </row>
    <row r="45" spans="1:44">
      <c r="A45" t="s">
        <v>1458</v>
      </c>
      <c r="B45" t="s">
        <v>1459</v>
      </c>
      <c r="C45" t="s">
        <v>1460</v>
      </c>
      <c r="D45" t="s">
        <v>1461</v>
      </c>
      <c r="E45" t="s">
        <v>1462</v>
      </c>
      <c r="F45" t="s">
        <v>1463</v>
      </c>
      <c r="G45" t="s">
        <v>1464</v>
      </c>
      <c r="H45" t="s">
        <v>1465</v>
      </c>
      <c r="I45" t="s">
        <v>1466</v>
      </c>
      <c r="J45" t="s">
        <v>1467</v>
      </c>
      <c r="K45" t="s">
        <v>1468</v>
      </c>
      <c r="L45" t="s">
        <v>1469</v>
      </c>
      <c r="M45" t="s">
        <v>1470</v>
      </c>
      <c r="N45" t="s">
        <v>1471</v>
      </c>
      <c r="O45" t="s">
        <v>1472</v>
      </c>
      <c r="P45" t="s">
        <v>1473</v>
      </c>
      <c r="Q45" t="s">
        <v>1474</v>
      </c>
      <c r="R45" t="s">
        <v>1475</v>
      </c>
      <c r="S45" t="s">
        <v>1476</v>
      </c>
      <c r="T45" t="s">
        <v>1477</v>
      </c>
      <c r="U45" t="s">
        <v>1478</v>
      </c>
      <c r="V45" t="s">
        <v>1479</v>
      </c>
      <c r="W45" t="s">
        <v>1480</v>
      </c>
      <c r="X45" t="s">
        <v>1481</v>
      </c>
      <c r="Y45" t="s">
        <v>1482</v>
      </c>
      <c r="Z45" t="s">
        <v>1483</v>
      </c>
      <c r="AA45" t="s">
        <v>1484</v>
      </c>
      <c r="AB45" t="s">
        <v>1485</v>
      </c>
      <c r="AC45" t="s">
        <v>1486</v>
      </c>
      <c r="AD45" t="s">
        <v>1487</v>
      </c>
      <c r="AE45" t="s">
        <v>1488</v>
      </c>
      <c r="AF45" t="s">
        <v>1489</v>
      </c>
      <c r="AG45" t="s">
        <v>1490</v>
      </c>
      <c r="AH45" t="s">
        <v>1491</v>
      </c>
      <c r="AI45" t="s">
        <v>1492</v>
      </c>
      <c r="AJ45" t="s">
        <v>1493</v>
      </c>
      <c r="AK45" s="17" t="s">
        <v>1494</v>
      </c>
      <c r="AL45" s="17" t="s">
        <v>1495</v>
      </c>
      <c r="AM45" s="17" t="s">
        <v>1496</v>
      </c>
      <c r="AN45" s="17" t="s">
        <v>1497</v>
      </c>
      <c r="AO45" s="32" t="s">
        <v>1498</v>
      </c>
      <c r="AP45" s="30" t="s">
        <v>1499</v>
      </c>
      <c r="AQ45" s="29" t="s">
        <v>1500</v>
      </c>
      <c r="AR45" s="33" t="s">
        <v>1501</v>
      </c>
    </row>
    <row r="46" spans="1:44">
      <c r="A46" t="s">
        <v>1502</v>
      </c>
      <c r="B46" t="s">
        <v>1503</v>
      </c>
      <c r="C46" t="s">
        <v>1503</v>
      </c>
      <c r="D46" t="s">
        <v>1502</v>
      </c>
      <c r="E46" t="s">
        <v>1503</v>
      </c>
      <c r="F46" t="s">
        <v>1502</v>
      </c>
      <c r="G46" t="s">
        <v>1503</v>
      </c>
      <c r="H46" t="s">
        <v>1503</v>
      </c>
      <c r="I46" t="s">
        <v>1502</v>
      </c>
      <c r="J46" t="s">
        <v>1502</v>
      </c>
      <c r="K46" t="s">
        <v>1502</v>
      </c>
      <c r="L46" t="s">
        <v>1503</v>
      </c>
      <c r="M46" t="s">
        <v>1504</v>
      </c>
      <c r="N46" t="s">
        <v>1505</v>
      </c>
      <c r="O46" t="s">
        <v>1506</v>
      </c>
      <c r="P46" t="s">
        <v>1507</v>
      </c>
      <c r="Q46" t="s">
        <v>1503</v>
      </c>
      <c r="R46" t="s">
        <v>1508</v>
      </c>
      <c r="S46" t="s">
        <v>1509</v>
      </c>
      <c r="T46" t="s">
        <v>1509</v>
      </c>
      <c r="U46" t="s">
        <v>1503</v>
      </c>
      <c r="V46" t="s">
        <v>1510</v>
      </c>
      <c r="W46" t="s">
        <v>1511</v>
      </c>
      <c r="X46" t="s">
        <v>1503</v>
      </c>
      <c r="Y46" t="s">
        <v>1506</v>
      </c>
      <c r="Z46" t="s">
        <v>1512</v>
      </c>
      <c r="AA46" t="s">
        <v>1502</v>
      </c>
      <c r="AB46" t="s">
        <v>1502</v>
      </c>
      <c r="AC46" t="s">
        <v>1513</v>
      </c>
      <c r="AD46" t="s">
        <v>1502</v>
      </c>
      <c r="AE46" t="s">
        <v>1514</v>
      </c>
      <c r="AF46" t="s">
        <v>1515</v>
      </c>
      <c r="AG46" t="s">
        <v>1516</v>
      </c>
      <c r="AH46" t="s">
        <v>1517</v>
      </c>
      <c r="AI46" t="s">
        <v>1518</v>
      </c>
      <c r="AJ46" t="s">
        <v>1519</v>
      </c>
      <c r="AK46" s="17" t="s">
        <v>1520</v>
      </c>
      <c r="AL46" s="17" t="s">
        <v>1521</v>
      </c>
      <c r="AM46" s="17" t="s">
        <v>1522</v>
      </c>
      <c r="AN46" s="17" t="s">
        <v>1523</v>
      </c>
      <c r="AO46" s="32" t="s">
        <v>1524</v>
      </c>
      <c r="AP46" s="30" t="s">
        <v>1525</v>
      </c>
      <c r="AQ46" s="29" t="s">
        <v>1526</v>
      </c>
      <c r="AR46" s="33" t="s">
        <v>1527</v>
      </c>
    </row>
    <row r="47" spans="1:44">
      <c r="A47" t="s">
        <v>1528</v>
      </c>
      <c r="B47" t="s">
        <v>1529</v>
      </c>
      <c r="C47" t="s">
        <v>1530</v>
      </c>
      <c r="D47" t="s">
        <v>1531</v>
      </c>
      <c r="E47" t="s">
        <v>1532</v>
      </c>
      <c r="F47" t="s">
        <v>1533</v>
      </c>
      <c r="G47" t="s">
        <v>1534</v>
      </c>
      <c r="H47" t="s">
        <v>1535</v>
      </c>
      <c r="I47" t="s">
        <v>1536</v>
      </c>
      <c r="J47" t="s">
        <v>1537</v>
      </c>
      <c r="K47" t="s">
        <v>1538</v>
      </c>
      <c r="L47" t="s">
        <v>1535</v>
      </c>
      <c r="M47" t="s">
        <v>1539</v>
      </c>
      <c r="N47" t="s">
        <v>1540</v>
      </c>
      <c r="O47" t="s">
        <v>1541</v>
      </c>
      <c r="P47" t="s">
        <v>1542</v>
      </c>
      <c r="Q47" t="s">
        <v>1543</v>
      </c>
      <c r="R47" t="s">
        <v>1544</v>
      </c>
      <c r="S47" t="s">
        <v>1545</v>
      </c>
      <c r="T47" t="s">
        <v>1546</v>
      </c>
      <c r="U47" t="s">
        <v>1547</v>
      </c>
      <c r="V47" t="s">
        <v>1548</v>
      </c>
      <c r="W47" t="s">
        <v>1549</v>
      </c>
      <c r="X47" t="s">
        <v>1550</v>
      </c>
      <c r="Y47" t="s">
        <v>1551</v>
      </c>
      <c r="Z47" t="s">
        <v>1552</v>
      </c>
      <c r="AA47" t="s">
        <v>1553</v>
      </c>
      <c r="AB47" t="s">
        <v>1554</v>
      </c>
      <c r="AC47" t="s">
        <v>1555</v>
      </c>
      <c r="AD47" t="s">
        <v>1556</v>
      </c>
      <c r="AE47" t="s">
        <v>1557</v>
      </c>
      <c r="AF47" t="s">
        <v>1558</v>
      </c>
      <c r="AG47" t="s">
        <v>1559</v>
      </c>
      <c r="AH47" t="s">
        <v>1560</v>
      </c>
      <c r="AI47" t="s">
        <v>1561</v>
      </c>
      <c r="AJ47" t="s">
        <v>1562</v>
      </c>
      <c r="AK47" s="17" t="s">
        <v>1563</v>
      </c>
      <c r="AL47" s="17" t="s">
        <v>1564</v>
      </c>
      <c r="AM47" s="17" t="s">
        <v>1565</v>
      </c>
      <c r="AN47" s="17" t="s">
        <v>1566</v>
      </c>
      <c r="AO47" s="28" t="s">
        <v>1567</v>
      </c>
      <c r="AP47" s="28" t="s">
        <v>1568</v>
      </c>
      <c r="AQ47" s="29" t="s">
        <v>1569</v>
      </c>
      <c r="AR47" s="33" t="s">
        <v>1570</v>
      </c>
    </row>
    <row r="48" spans="1:44">
      <c r="A48" t="s">
        <v>1571</v>
      </c>
      <c r="B48" t="s">
        <v>1572</v>
      </c>
      <c r="C48" t="s">
        <v>1573</v>
      </c>
      <c r="D48" t="s">
        <v>1574</v>
      </c>
      <c r="E48" t="s">
        <v>1575</v>
      </c>
      <c r="F48" t="s">
        <v>1576</v>
      </c>
      <c r="G48" t="s">
        <v>1577</v>
      </c>
      <c r="H48" t="s">
        <v>1578</v>
      </c>
      <c r="I48" t="s">
        <v>1579</v>
      </c>
      <c r="J48" t="s">
        <v>1580</v>
      </c>
      <c r="K48" t="s">
        <v>1581</v>
      </c>
      <c r="L48" t="s">
        <v>1582</v>
      </c>
      <c r="M48" t="s">
        <v>1583</v>
      </c>
      <c r="N48" t="s">
        <v>1584</v>
      </c>
      <c r="O48" t="s">
        <v>1585</v>
      </c>
      <c r="P48" t="s">
        <v>1586</v>
      </c>
      <c r="Q48" t="s">
        <v>1587</v>
      </c>
      <c r="R48" t="s">
        <v>1588</v>
      </c>
      <c r="S48" t="s">
        <v>1589</v>
      </c>
      <c r="T48" t="s">
        <v>1590</v>
      </c>
      <c r="U48" t="s">
        <v>1591</v>
      </c>
      <c r="V48" t="s">
        <v>1592</v>
      </c>
      <c r="W48" t="s">
        <v>1593</v>
      </c>
      <c r="X48" t="s">
        <v>1594</v>
      </c>
      <c r="Y48" t="s">
        <v>1595</v>
      </c>
      <c r="Z48" t="s">
        <v>1596</v>
      </c>
      <c r="AA48" t="s">
        <v>1597</v>
      </c>
      <c r="AB48" t="s">
        <v>1598</v>
      </c>
      <c r="AC48" t="s">
        <v>1599</v>
      </c>
      <c r="AD48" t="s">
        <v>1600</v>
      </c>
      <c r="AE48" t="s">
        <v>1601</v>
      </c>
      <c r="AF48" t="s">
        <v>1602</v>
      </c>
      <c r="AG48" t="s">
        <v>1603</v>
      </c>
      <c r="AH48" t="s">
        <v>1604</v>
      </c>
      <c r="AI48" t="s">
        <v>1605</v>
      </c>
      <c r="AJ48" t="s">
        <v>1606</v>
      </c>
      <c r="AK48" s="17" t="s">
        <v>1607</v>
      </c>
      <c r="AL48" s="17" t="s">
        <v>1608</v>
      </c>
      <c r="AM48" s="17" t="s">
        <v>1609</v>
      </c>
      <c r="AN48" s="17" t="s">
        <v>1610</v>
      </c>
      <c r="AO48" s="28" t="s">
        <v>1611</v>
      </c>
      <c r="AP48" s="28" t="s">
        <v>1612</v>
      </c>
      <c r="AQ48" s="29" t="s">
        <v>1613</v>
      </c>
      <c r="AR48" s="33" t="s">
        <v>1614</v>
      </c>
    </row>
    <row r="49" spans="1:44">
      <c r="A49" t="s">
        <v>1615</v>
      </c>
      <c r="B49" t="s">
        <v>1616</v>
      </c>
      <c r="C49" t="s">
        <v>1617</v>
      </c>
      <c r="D49" t="s">
        <v>1618</v>
      </c>
      <c r="E49" t="s">
        <v>1619</v>
      </c>
      <c r="F49" t="s">
        <v>1620</v>
      </c>
      <c r="G49" t="s">
        <v>1621</v>
      </c>
      <c r="H49" t="s">
        <v>1622</v>
      </c>
      <c r="I49" t="s">
        <v>1623</v>
      </c>
      <c r="J49" t="s">
        <v>1624</v>
      </c>
      <c r="K49" t="s">
        <v>1625</v>
      </c>
      <c r="L49" t="s">
        <v>1626</v>
      </c>
      <c r="M49" t="s">
        <v>1627</v>
      </c>
      <c r="N49" t="s">
        <v>1628</v>
      </c>
      <c r="O49" t="s">
        <v>1629</v>
      </c>
      <c r="P49" t="s">
        <v>1630</v>
      </c>
      <c r="Q49" t="s">
        <v>1631</v>
      </c>
      <c r="R49" t="s">
        <v>1632</v>
      </c>
      <c r="S49" t="s">
        <v>1633</v>
      </c>
      <c r="T49" t="s">
        <v>1634</v>
      </c>
      <c r="U49" t="s">
        <v>1635</v>
      </c>
      <c r="V49" t="s">
        <v>1636</v>
      </c>
      <c r="W49" t="s">
        <v>1637</v>
      </c>
      <c r="X49" t="s">
        <v>1638</v>
      </c>
      <c r="Y49" t="s">
        <v>1639</v>
      </c>
      <c r="Z49" t="s">
        <v>1640</v>
      </c>
      <c r="AA49" t="s">
        <v>1641</v>
      </c>
      <c r="AB49" t="s">
        <v>1642</v>
      </c>
      <c r="AC49" t="s">
        <v>1643</v>
      </c>
      <c r="AD49" t="s">
        <v>1644</v>
      </c>
      <c r="AE49" t="s">
        <v>1645</v>
      </c>
      <c r="AF49" t="s">
        <v>1646</v>
      </c>
      <c r="AG49" t="s">
        <v>1647</v>
      </c>
      <c r="AH49" t="s">
        <v>1648</v>
      </c>
      <c r="AI49" t="s">
        <v>1649</v>
      </c>
      <c r="AJ49" t="s">
        <v>1650</v>
      </c>
      <c r="AK49" s="17" t="s">
        <v>1651</v>
      </c>
      <c r="AL49" s="17" t="s">
        <v>1652</v>
      </c>
      <c r="AM49" s="17" t="s">
        <v>1653</v>
      </c>
      <c r="AN49" s="17" t="s">
        <v>1654</v>
      </c>
      <c r="AO49" s="28" t="s">
        <v>1655</v>
      </c>
      <c r="AP49" s="28" t="s">
        <v>1656</v>
      </c>
      <c r="AQ49" s="29" t="s">
        <v>1657</v>
      </c>
      <c r="AR49" s="33" t="s">
        <v>1658</v>
      </c>
    </row>
    <row r="50" spans="1:44">
      <c r="A50" t="s">
        <v>1659</v>
      </c>
      <c r="B50" t="s">
        <v>1660</v>
      </c>
      <c r="C50" t="s">
        <v>1661</v>
      </c>
      <c r="D50" t="s">
        <v>1662</v>
      </c>
      <c r="E50" t="s">
        <v>1663</v>
      </c>
      <c r="F50" t="s">
        <v>1664</v>
      </c>
      <c r="G50" t="s">
        <v>1665</v>
      </c>
      <c r="H50" t="s">
        <v>1666</v>
      </c>
      <c r="I50" t="s">
        <v>1667</v>
      </c>
      <c r="J50" t="s">
        <v>1668</v>
      </c>
      <c r="K50" t="s">
        <v>1669</v>
      </c>
      <c r="L50" t="s">
        <v>1670</v>
      </c>
      <c r="M50" t="s">
        <v>1671</v>
      </c>
      <c r="N50" t="s">
        <v>1672</v>
      </c>
      <c r="O50" t="s">
        <v>1673</v>
      </c>
      <c r="P50" t="s">
        <v>1674</v>
      </c>
      <c r="Q50" t="s">
        <v>1675</v>
      </c>
      <c r="R50" t="s">
        <v>1676</v>
      </c>
      <c r="S50" t="s">
        <v>1677</v>
      </c>
      <c r="T50" t="s">
        <v>1678</v>
      </c>
      <c r="U50" t="s">
        <v>1679</v>
      </c>
      <c r="V50" t="s">
        <v>1680</v>
      </c>
      <c r="W50" t="s">
        <v>1681</v>
      </c>
      <c r="X50" t="s">
        <v>1682</v>
      </c>
      <c r="Y50" t="s">
        <v>1683</v>
      </c>
      <c r="Z50" t="s">
        <v>1684</v>
      </c>
      <c r="AA50" t="s">
        <v>1685</v>
      </c>
      <c r="AB50" t="s">
        <v>1686</v>
      </c>
      <c r="AC50" t="s">
        <v>1687</v>
      </c>
      <c r="AD50" t="s">
        <v>1688</v>
      </c>
      <c r="AE50" t="s">
        <v>1689</v>
      </c>
      <c r="AF50" t="s">
        <v>1690</v>
      </c>
      <c r="AG50" t="s">
        <v>1691</v>
      </c>
      <c r="AH50" t="s">
        <v>1692</v>
      </c>
      <c r="AI50" t="s">
        <v>1693</v>
      </c>
      <c r="AJ50" t="s">
        <v>1694</v>
      </c>
      <c r="AK50" s="17" t="s">
        <v>1695</v>
      </c>
      <c r="AL50" s="17" t="s">
        <v>1696</v>
      </c>
      <c r="AM50" s="17" t="s">
        <v>1697</v>
      </c>
      <c r="AN50" s="17" t="s">
        <v>1698</v>
      </c>
      <c r="AO50" s="28" t="s">
        <v>1699</v>
      </c>
      <c r="AP50" s="28" t="s">
        <v>1700</v>
      </c>
      <c r="AQ50" s="29" t="s">
        <v>1701</v>
      </c>
      <c r="AR50" s="33" t="s">
        <v>1702</v>
      </c>
    </row>
    <row r="51" spans="1:44">
      <c r="A51" t="s">
        <v>1703</v>
      </c>
      <c r="B51" t="s">
        <v>1704</v>
      </c>
      <c r="C51" t="s">
        <v>1705</v>
      </c>
      <c r="D51" t="s">
        <v>1706</v>
      </c>
      <c r="E51" t="s">
        <v>1707</v>
      </c>
      <c r="F51" t="s">
        <v>1708</v>
      </c>
      <c r="G51" t="s">
        <v>1709</v>
      </c>
      <c r="H51" t="s">
        <v>1710</v>
      </c>
      <c r="I51" t="s">
        <v>1711</v>
      </c>
      <c r="J51" t="s">
        <v>1712</v>
      </c>
      <c r="K51" t="s">
        <v>1713</v>
      </c>
      <c r="L51" t="s">
        <v>1714</v>
      </c>
      <c r="M51" t="s">
        <v>1715</v>
      </c>
      <c r="N51" t="s">
        <v>1716</v>
      </c>
      <c r="O51" t="s">
        <v>1717</v>
      </c>
      <c r="P51" t="s">
        <v>1718</v>
      </c>
      <c r="Q51" t="s">
        <v>1719</v>
      </c>
      <c r="R51" t="s">
        <v>1720</v>
      </c>
      <c r="S51" t="s">
        <v>1721</v>
      </c>
      <c r="T51" t="s">
        <v>1722</v>
      </c>
      <c r="U51" t="s">
        <v>1723</v>
      </c>
      <c r="V51" t="s">
        <v>1724</v>
      </c>
      <c r="W51" t="s">
        <v>1725</v>
      </c>
      <c r="X51" t="s">
        <v>1726</v>
      </c>
      <c r="Y51" t="s">
        <v>1727</v>
      </c>
      <c r="Z51" t="s">
        <v>1728</v>
      </c>
      <c r="AA51" t="s">
        <v>1729</v>
      </c>
      <c r="AB51" t="s">
        <v>1730</v>
      </c>
      <c r="AC51" t="s">
        <v>1731</v>
      </c>
      <c r="AD51" t="s">
        <v>1732</v>
      </c>
      <c r="AE51" t="s">
        <v>1733</v>
      </c>
      <c r="AF51" t="s">
        <v>1734</v>
      </c>
      <c r="AG51" t="s">
        <v>1735</v>
      </c>
      <c r="AH51" t="s">
        <v>1736</v>
      </c>
      <c r="AI51" t="s">
        <v>1737</v>
      </c>
      <c r="AJ51" t="s">
        <v>1738</v>
      </c>
      <c r="AK51" s="17" t="s">
        <v>1739</v>
      </c>
      <c r="AL51" s="17" t="s">
        <v>1740</v>
      </c>
      <c r="AM51" s="17" t="s">
        <v>1741</v>
      </c>
      <c r="AN51" s="17" t="s">
        <v>1742</v>
      </c>
      <c r="AO51" s="28" t="s">
        <v>1743</v>
      </c>
      <c r="AP51" s="28" t="s">
        <v>1744</v>
      </c>
      <c r="AQ51" s="29" t="s">
        <v>1745</v>
      </c>
      <c r="AR51" s="33" t="s">
        <v>1746</v>
      </c>
    </row>
    <row r="52" spans="1:44">
      <c r="A52" t="s">
        <v>1747</v>
      </c>
      <c r="B52" t="s">
        <v>1748</v>
      </c>
      <c r="C52" t="s">
        <v>1749</v>
      </c>
      <c r="D52" t="s">
        <v>1750</v>
      </c>
      <c r="E52" t="s">
        <v>1751</v>
      </c>
      <c r="F52" t="s">
        <v>1752</v>
      </c>
      <c r="G52" t="s">
        <v>1753</v>
      </c>
      <c r="H52" t="s">
        <v>1754</v>
      </c>
      <c r="I52" t="s">
        <v>1755</v>
      </c>
      <c r="J52" t="s">
        <v>1756</v>
      </c>
      <c r="K52" t="s">
        <v>1757</v>
      </c>
      <c r="L52" t="s">
        <v>1758</v>
      </c>
      <c r="M52" t="s">
        <v>1759</v>
      </c>
      <c r="N52" t="s">
        <v>1760</v>
      </c>
      <c r="O52" t="s">
        <v>1761</v>
      </c>
      <c r="P52" t="s">
        <v>1762</v>
      </c>
      <c r="Q52" t="s">
        <v>1763</v>
      </c>
      <c r="R52" t="s">
        <v>1764</v>
      </c>
      <c r="S52" t="s">
        <v>1765</v>
      </c>
      <c r="T52" t="s">
        <v>1766</v>
      </c>
      <c r="U52" t="s">
        <v>1767</v>
      </c>
      <c r="V52" t="s">
        <v>1768</v>
      </c>
      <c r="W52" t="s">
        <v>1769</v>
      </c>
      <c r="X52" t="s">
        <v>1770</v>
      </c>
      <c r="Y52" t="s">
        <v>1771</v>
      </c>
      <c r="Z52" t="s">
        <v>1772</v>
      </c>
      <c r="AA52" t="s">
        <v>1773</v>
      </c>
      <c r="AB52" t="s">
        <v>1774</v>
      </c>
      <c r="AC52" t="s">
        <v>1775</v>
      </c>
      <c r="AD52" t="s">
        <v>1776</v>
      </c>
      <c r="AE52" t="s">
        <v>1777</v>
      </c>
      <c r="AF52" t="s">
        <v>1778</v>
      </c>
      <c r="AG52" t="s">
        <v>1779</v>
      </c>
      <c r="AH52" t="s">
        <v>1780</v>
      </c>
      <c r="AI52" t="s">
        <v>1781</v>
      </c>
      <c r="AJ52" t="s">
        <v>1782</v>
      </c>
      <c r="AK52" s="17" t="s">
        <v>1783</v>
      </c>
      <c r="AL52" s="17" t="s">
        <v>1784</v>
      </c>
      <c r="AM52" s="17" t="s">
        <v>1785</v>
      </c>
      <c r="AN52" s="17" t="s">
        <v>1786</v>
      </c>
      <c r="AO52" s="28" t="s">
        <v>1787</v>
      </c>
      <c r="AP52" s="28" t="s">
        <v>1788</v>
      </c>
      <c r="AQ52" s="29" t="s">
        <v>1789</v>
      </c>
      <c r="AR52" s="33" t="s">
        <v>1790</v>
      </c>
    </row>
    <row r="53" spans="1:44">
      <c r="A53" t="s">
        <v>1791</v>
      </c>
      <c r="B53" t="s">
        <v>1792</v>
      </c>
      <c r="C53" t="s">
        <v>1793</v>
      </c>
      <c r="D53" t="s">
        <v>1794</v>
      </c>
      <c r="E53" t="s">
        <v>1795</v>
      </c>
      <c r="F53" t="s">
        <v>1796</v>
      </c>
      <c r="G53" t="s">
        <v>1797</v>
      </c>
      <c r="H53" t="s">
        <v>1798</v>
      </c>
      <c r="I53" t="s">
        <v>1799</v>
      </c>
      <c r="J53" t="s">
        <v>1800</v>
      </c>
      <c r="K53" t="s">
        <v>1801</v>
      </c>
      <c r="L53" t="s">
        <v>1802</v>
      </c>
      <c r="M53" t="s">
        <v>1803</v>
      </c>
      <c r="N53" t="s">
        <v>1804</v>
      </c>
      <c r="O53" t="s">
        <v>1805</v>
      </c>
      <c r="P53" t="s">
        <v>1806</v>
      </c>
      <c r="Q53" t="s">
        <v>1807</v>
      </c>
      <c r="R53" t="s">
        <v>1808</v>
      </c>
      <c r="S53" t="s">
        <v>1809</v>
      </c>
      <c r="T53" t="s">
        <v>1810</v>
      </c>
      <c r="U53" t="s">
        <v>1811</v>
      </c>
      <c r="V53" t="s">
        <v>1812</v>
      </c>
      <c r="W53" t="s">
        <v>1813</v>
      </c>
      <c r="X53" t="s">
        <v>1814</v>
      </c>
      <c r="Y53" t="s">
        <v>1815</v>
      </c>
      <c r="Z53" t="s">
        <v>1816</v>
      </c>
      <c r="AA53" t="s">
        <v>1817</v>
      </c>
      <c r="AB53" t="s">
        <v>1818</v>
      </c>
      <c r="AC53" t="s">
        <v>1819</v>
      </c>
      <c r="AD53" t="s">
        <v>1820</v>
      </c>
      <c r="AE53" t="s">
        <v>1821</v>
      </c>
      <c r="AF53" t="s">
        <v>1822</v>
      </c>
      <c r="AG53" t="s">
        <v>1823</v>
      </c>
      <c r="AH53" t="s">
        <v>1824</v>
      </c>
      <c r="AI53" t="s">
        <v>1825</v>
      </c>
      <c r="AJ53" t="s">
        <v>1826</v>
      </c>
      <c r="AK53" s="17" t="s">
        <v>1827</v>
      </c>
      <c r="AL53" s="17" t="s">
        <v>1828</v>
      </c>
      <c r="AM53" s="17" t="s">
        <v>1829</v>
      </c>
      <c r="AN53" s="17" t="s">
        <v>1830</v>
      </c>
      <c r="AO53" s="28" t="s">
        <v>1831</v>
      </c>
      <c r="AP53" s="28" t="s">
        <v>1832</v>
      </c>
      <c r="AQ53" s="29" t="s">
        <v>1833</v>
      </c>
      <c r="AR53" s="33" t="s">
        <v>1834</v>
      </c>
    </row>
    <row r="54" spans="1:44">
      <c r="A54" t="s">
        <v>1835</v>
      </c>
      <c r="B54" t="s">
        <v>1836</v>
      </c>
      <c r="C54" t="s">
        <v>1837</v>
      </c>
      <c r="D54" s="14" t="s">
        <v>1838</v>
      </c>
      <c r="E54" s="14" t="s">
        <v>1839</v>
      </c>
      <c r="F54" s="14" t="s">
        <v>1840</v>
      </c>
      <c r="G54" t="s">
        <v>1841</v>
      </c>
      <c r="H54" t="s">
        <v>1842</v>
      </c>
      <c r="I54" t="s">
        <v>1843</v>
      </c>
      <c r="J54" t="s">
        <v>1844</v>
      </c>
      <c r="K54" t="s">
        <v>1845</v>
      </c>
      <c r="L54" t="s">
        <v>1846</v>
      </c>
      <c r="M54" t="s">
        <v>1847</v>
      </c>
      <c r="N54" t="s">
        <v>1848</v>
      </c>
      <c r="O54" t="s">
        <v>1849</v>
      </c>
      <c r="P54" t="s">
        <v>1850</v>
      </c>
      <c r="Q54" t="s">
        <v>1851</v>
      </c>
      <c r="R54" t="s">
        <v>1852</v>
      </c>
      <c r="S54" t="s">
        <v>1853</v>
      </c>
      <c r="T54" t="s">
        <v>1854</v>
      </c>
      <c r="U54" t="s">
        <v>1855</v>
      </c>
      <c r="V54" t="s">
        <v>1856</v>
      </c>
      <c r="W54" t="s">
        <v>1857</v>
      </c>
      <c r="X54" t="s">
        <v>1858</v>
      </c>
      <c r="Y54" t="s">
        <v>1859</v>
      </c>
      <c r="Z54" t="s">
        <v>1860</v>
      </c>
      <c r="AA54" t="s">
        <v>1861</v>
      </c>
      <c r="AB54" t="s">
        <v>1862</v>
      </c>
      <c r="AC54" t="s">
        <v>1863</v>
      </c>
      <c r="AD54" t="s">
        <v>1864</v>
      </c>
      <c r="AE54" t="s">
        <v>1865</v>
      </c>
      <c r="AF54" t="s">
        <v>1866</v>
      </c>
      <c r="AG54" t="s">
        <v>1867</v>
      </c>
      <c r="AH54" t="s">
        <v>1868</v>
      </c>
      <c r="AI54" t="s">
        <v>1869</v>
      </c>
      <c r="AJ54" t="s">
        <v>1870</v>
      </c>
      <c r="AK54" s="17" t="s">
        <v>1871</v>
      </c>
      <c r="AL54" s="17" t="s">
        <v>1872</v>
      </c>
      <c r="AM54" s="17" t="s">
        <v>1873</v>
      </c>
      <c r="AN54" s="17" t="s">
        <v>1874</v>
      </c>
      <c r="AO54" s="28" t="s">
        <v>1875</v>
      </c>
      <c r="AP54" s="28" t="s">
        <v>1876</v>
      </c>
      <c r="AQ54" s="29" t="s">
        <v>1877</v>
      </c>
      <c r="AR54" s="33" t="s">
        <v>1878</v>
      </c>
    </row>
    <row r="55" spans="1:44">
      <c r="A55" t="s">
        <v>1879</v>
      </c>
      <c r="B55" t="s">
        <v>1880</v>
      </c>
      <c r="C55" t="s">
        <v>1881</v>
      </c>
      <c r="D55" s="14" t="s">
        <v>1882</v>
      </c>
      <c r="E55" s="14" t="s">
        <v>1883</v>
      </c>
      <c r="F55" s="14" t="s">
        <v>1884</v>
      </c>
      <c r="G55" t="s">
        <v>1885</v>
      </c>
      <c r="H55" t="s">
        <v>1886</v>
      </c>
      <c r="I55" t="s">
        <v>1887</v>
      </c>
      <c r="J55" t="s">
        <v>1888</v>
      </c>
      <c r="K55" t="s">
        <v>1889</v>
      </c>
      <c r="L55" t="s">
        <v>1890</v>
      </c>
      <c r="M55" t="s">
        <v>1891</v>
      </c>
      <c r="N55" t="s">
        <v>1892</v>
      </c>
      <c r="O55" t="s">
        <v>1893</v>
      </c>
      <c r="P55" t="s">
        <v>1894</v>
      </c>
      <c r="Q55" t="s">
        <v>1895</v>
      </c>
      <c r="R55" t="s">
        <v>1896</v>
      </c>
      <c r="S55" t="s">
        <v>1897</v>
      </c>
      <c r="T55" t="s">
        <v>1898</v>
      </c>
      <c r="U55" t="s">
        <v>1899</v>
      </c>
      <c r="V55" t="s">
        <v>1900</v>
      </c>
      <c r="W55" t="s">
        <v>1901</v>
      </c>
      <c r="X55" t="s">
        <v>1902</v>
      </c>
      <c r="Y55" t="s">
        <v>1903</v>
      </c>
      <c r="Z55" t="s">
        <v>1904</v>
      </c>
      <c r="AA55" t="s">
        <v>1905</v>
      </c>
      <c r="AB55" t="s">
        <v>1906</v>
      </c>
      <c r="AC55" t="s">
        <v>1907</v>
      </c>
      <c r="AD55" t="s">
        <v>1908</v>
      </c>
      <c r="AE55" t="s">
        <v>1909</v>
      </c>
      <c r="AF55" t="s">
        <v>1910</v>
      </c>
      <c r="AG55" t="s">
        <v>1911</v>
      </c>
      <c r="AH55" t="s">
        <v>1912</v>
      </c>
      <c r="AI55" t="s">
        <v>1913</v>
      </c>
      <c r="AJ55" t="s">
        <v>1914</v>
      </c>
      <c r="AK55" s="17" t="s">
        <v>1915</v>
      </c>
      <c r="AL55" s="17" t="s">
        <v>1916</v>
      </c>
      <c r="AM55" s="17" t="s">
        <v>1917</v>
      </c>
      <c r="AN55" s="17" t="s">
        <v>1918</v>
      </c>
      <c r="AO55" s="28" t="s">
        <v>1919</v>
      </c>
      <c r="AP55" s="28" t="s">
        <v>1920</v>
      </c>
      <c r="AQ55" s="29" t="s">
        <v>1921</v>
      </c>
      <c r="AR55" s="33" t="s">
        <v>1922</v>
      </c>
    </row>
    <row r="56" spans="1:44">
      <c r="A56" t="s">
        <v>1923</v>
      </c>
      <c r="B56" t="s">
        <v>1924</v>
      </c>
      <c r="C56" t="s">
        <v>1925</v>
      </c>
      <c r="D56" t="s">
        <v>1926</v>
      </c>
      <c r="E56" t="s">
        <v>1927</v>
      </c>
      <c r="F56" t="s">
        <v>1928</v>
      </c>
      <c r="G56" t="s">
        <v>1929</v>
      </c>
      <c r="H56" t="s">
        <v>1930</v>
      </c>
      <c r="I56" t="s">
        <v>1931</v>
      </c>
      <c r="J56" t="s">
        <v>1932</v>
      </c>
      <c r="K56" t="s">
        <v>1933</v>
      </c>
      <c r="L56" t="s">
        <v>1934</v>
      </c>
      <c r="M56" t="s">
        <v>1935</v>
      </c>
      <c r="N56" t="s">
        <v>1936</v>
      </c>
      <c r="O56" t="s">
        <v>1937</v>
      </c>
      <c r="P56" t="s">
        <v>1938</v>
      </c>
      <c r="Q56" t="s">
        <v>1939</v>
      </c>
      <c r="R56" t="s">
        <v>1940</v>
      </c>
      <c r="S56" t="s">
        <v>1941</v>
      </c>
      <c r="T56" t="s">
        <v>1942</v>
      </c>
      <c r="U56" t="s">
        <v>1943</v>
      </c>
      <c r="V56" t="s">
        <v>1944</v>
      </c>
      <c r="W56" t="s">
        <v>1945</v>
      </c>
      <c r="X56" t="s">
        <v>1946</v>
      </c>
      <c r="Y56" t="s">
        <v>1947</v>
      </c>
      <c r="Z56" t="s">
        <v>1948</v>
      </c>
      <c r="AA56" t="s">
        <v>1949</v>
      </c>
      <c r="AB56" t="s">
        <v>1950</v>
      </c>
      <c r="AC56" t="s">
        <v>1951</v>
      </c>
      <c r="AD56" t="s">
        <v>1952</v>
      </c>
      <c r="AE56" t="s">
        <v>1953</v>
      </c>
      <c r="AF56" t="s">
        <v>1954</v>
      </c>
      <c r="AG56" t="s">
        <v>1955</v>
      </c>
      <c r="AH56" t="s">
        <v>1956</v>
      </c>
      <c r="AI56" t="s">
        <v>1957</v>
      </c>
      <c r="AJ56" t="s">
        <v>1958</v>
      </c>
      <c r="AK56" s="17" t="s">
        <v>1959</v>
      </c>
      <c r="AL56" s="17" t="s">
        <v>1960</v>
      </c>
      <c r="AM56" s="17" t="s">
        <v>1961</v>
      </c>
      <c r="AN56" s="17" t="s">
        <v>1962</v>
      </c>
      <c r="AO56" s="28" t="s">
        <v>1963</v>
      </c>
      <c r="AP56" s="28" t="s">
        <v>1964</v>
      </c>
      <c r="AQ56" s="29" t="s">
        <v>1965</v>
      </c>
      <c r="AR56" s="33" t="s">
        <v>1966</v>
      </c>
    </row>
    <row r="57" spans="1:44">
      <c r="A57" t="s">
        <v>1967</v>
      </c>
      <c r="B57" t="s">
        <v>1968</v>
      </c>
      <c r="C57" t="s">
        <v>1969</v>
      </c>
      <c r="D57" t="s">
        <v>1970</v>
      </c>
      <c r="E57" t="s">
        <v>1971</v>
      </c>
      <c r="F57" t="s">
        <v>1972</v>
      </c>
      <c r="G57" t="s">
        <v>1973</v>
      </c>
      <c r="H57" t="s">
        <v>1974</v>
      </c>
      <c r="I57" t="s">
        <v>1975</v>
      </c>
      <c r="J57" t="s">
        <v>1976</v>
      </c>
      <c r="K57" t="s">
        <v>1977</v>
      </c>
      <c r="L57" t="s">
        <v>1978</v>
      </c>
      <c r="M57" t="s">
        <v>1979</v>
      </c>
      <c r="N57" t="s">
        <v>1980</v>
      </c>
      <c r="O57" t="s">
        <v>1981</v>
      </c>
      <c r="P57" t="s">
        <v>1982</v>
      </c>
      <c r="Q57" t="s">
        <v>1983</v>
      </c>
      <c r="R57" t="s">
        <v>1984</v>
      </c>
      <c r="S57" t="s">
        <v>1985</v>
      </c>
      <c r="T57" t="s">
        <v>1986</v>
      </c>
      <c r="U57" t="s">
        <v>1987</v>
      </c>
      <c r="V57" t="s">
        <v>1988</v>
      </c>
      <c r="W57" t="s">
        <v>1989</v>
      </c>
      <c r="X57" t="s">
        <v>1990</v>
      </c>
      <c r="Y57" t="s">
        <v>1991</v>
      </c>
      <c r="Z57" t="s">
        <v>1992</v>
      </c>
      <c r="AA57" t="s">
        <v>1993</v>
      </c>
      <c r="AB57" t="s">
        <v>1994</v>
      </c>
      <c r="AC57" t="s">
        <v>1995</v>
      </c>
      <c r="AD57" t="s">
        <v>1996</v>
      </c>
      <c r="AE57" t="s">
        <v>1997</v>
      </c>
      <c r="AF57" t="s">
        <v>1998</v>
      </c>
      <c r="AG57" t="s">
        <v>1999</v>
      </c>
      <c r="AH57" t="s">
        <v>2000</v>
      </c>
      <c r="AI57" t="s">
        <v>2001</v>
      </c>
      <c r="AJ57" t="s">
        <v>2002</v>
      </c>
      <c r="AK57" s="17" t="s">
        <v>2003</v>
      </c>
      <c r="AL57" s="17" t="s">
        <v>2004</v>
      </c>
      <c r="AM57" s="17" t="s">
        <v>2005</v>
      </c>
      <c r="AN57" s="17" t="s">
        <v>2006</v>
      </c>
      <c r="AO57" s="28" t="s">
        <v>2007</v>
      </c>
      <c r="AP57" s="28" t="s">
        <v>2008</v>
      </c>
      <c r="AQ57" s="29" t="s">
        <v>2009</v>
      </c>
      <c r="AR57" s="33" t="s">
        <v>2010</v>
      </c>
    </row>
    <row r="58" spans="1:44">
      <c r="A58" t="s">
        <v>2011</v>
      </c>
      <c r="B58" t="s">
        <v>2012</v>
      </c>
      <c r="C58" t="s">
        <v>2013</v>
      </c>
      <c r="D58" t="s">
        <v>2014</v>
      </c>
      <c r="E58" t="s">
        <v>2015</v>
      </c>
      <c r="F58" t="s">
        <v>2016</v>
      </c>
      <c r="G58" t="s">
        <v>2017</v>
      </c>
      <c r="H58" t="s">
        <v>2018</v>
      </c>
      <c r="I58" t="s">
        <v>2019</v>
      </c>
      <c r="J58" t="s">
        <v>2020</v>
      </c>
      <c r="K58" t="s">
        <v>2021</v>
      </c>
      <c r="L58" t="s">
        <v>2022</v>
      </c>
      <c r="M58" t="s">
        <v>2023</v>
      </c>
      <c r="N58" t="s">
        <v>2024</v>
      </c>
      <c r="O58" t="s">
        <v>2025</v>
      </c>
      <c r="P58" t="s">
        <v>2026</v>
      </c>
      <c r="Q58" t="s">
        <v>2027</v>
      </c>
      <c r="R58" t="s">
        <v>2028</v>
      </c>
      <c r="S58" t="s">
        <v>2029</v>
      </c>
      <c r="T58" t="s">
        <v>2030</v>
      </c>
      <c r="U58" t="s">
        <v>2031</v>
      </c>
      <c r="V58" t="s">
        <v>2032</v>
      </c>
      <c r="W58" t="s">
        <v>2033</v>
      </c>
      <c r="X58" t="s">
        <v>2034</v>
      </c>
      <c r="Y58" t="s">
        <v>2035</v>
      </c>
      <c r="Z58" t="s">
        <v>2036</v>
      </c>
      <c r="AA58" t="s">
        <v>2037</v>
      </c>
      <c r="AB58" t="s">
        <v>2038</v>
      </c>
      <c r="AC58" t="s">
        <v>2039</v>
      </c>
      <c r="AD58" t="s">
        <v>2040</v>
      </c>
      <c r="AE58" t="s">
        <v>2041</v>
      </c>
      <c r="AF58" t="s">
        <v>2042</v>
      </c>
      <c r="AG58" t="s">
        <v>2043</v>
      </c>
      <c r="AH58" t="s">
        <v>2044</v>
      </c>
      <c r="AI58" t="s">
        <v>2045</v>
      </c>
      <c r="AJ58" t="s">
        <v>2046</v>
      </c>
      <c r="AK58" s="17" t="s">
        <v>2047</v>
      </c>
      <c r="AL58" s="17" t="s">
        <v>2048</v>
      </c>
      <c r="AM58" s="17" t="s">
        <v>2049</v>
      </c>
      <c r="AN58" s="17" t="s">
        <v>2050</v>
      </c>
      <c r="AO58" s="28" t="s">
        <v>2051</v>
      </c>
      <c r="AP58" s="28" t="s">
        <v>2052</v>
      </c>
      <c r="AQ58" s="29" t="s">
        <v>2053</v>
      </c>
      <c r="AR58" s="33" t="s">
        <v>2054</v>
      </c>
    </row>
    <row r="59" spans="1:44">
      <c r="A59" t="s">
        <v>2055</v>
      </c>
      <c r="B59" t="s">
        <v>2056</v>
      </c>
      <c r="C59" t="s">
        <v>2057</v>
      </c>
      <c r="D59" t="s">
        <v>2058</v>
      </c>
      <c r="E59" t="s">
        <v>2059</v>
      </c>
      <c r="F59" t="s">
        <v>2060</v>
      </c>
      <c r="G59" t="s">
        <v>2061</v>
      </c>
      <c r="H59" t="s">
        <v>2062</v>
      </c>
      <c r="I59" t="s">
        <v>2063</v>
      </c>
      <c r="J59" t="s">
        <v>2064</v>
      </c>
      <c r="K59" t="s">
        <v>2065</v>
      </c>
      <c r="L59" t="s">
        <v>2066</v>
      </c>
      <c r="M59" t="s">
        <v>2067</v>
      </c>
      <c r="N59" t="s">
        <v>2068</v>
      </c>
      <c r="O59" t="s">
        <v>2069</v>
      </c>
      <c r="P59" t="s">
        <v>2070</v>
      </c>
      <c r="Q59" t="s">
        <v>2071</v>
      </c>
      <c r="R59" t="s">
        <v>2072</v>
      </c>
      <c r="S59" t="s">
        <v>2073</v>
      </c>
      <c r="T59" t="s">
        <v>2074</v>
      </c>
      <c r="U59" t="s">
        <v>2075</v>
      </c>
      <c r="V59" t="s">
        <v>2076</v>
      </c>
      <c r="W59" t="s">
        <v>2077</v>
      </c>
      <c r="X59" t="s">
        <v>2078</v>
      </c>
      <c r="Y59" t="s">
        <v>2079</v>
      </c>
      <c r="Z59" t="s">
        <v>2080</v>
      </c>
      <c r="AA59" t="s">
        <v>2081</v>
      </c>
      <c r="AB59" t="s">
        <v>2082</v>
      </c>
      <c r="AC59" t="s">
        <v>2083</v>
      </c>
      <c r="AD59" t="s">
        <v>2084</v>
      </c>
      <c r="AE59" t="s">
        <v>2085</v>
      </c>
      <c r="AF59" t="s">
        <v>2086</v>
      </c>
      <c r="AG59" t="s">
        <v>2087</v>
      </c>
      <c r="AH59" t="s">
        <v>2088</v>
      </c>
      <c r="AI59" t="s">
        <v>2089</v>
      </c>
      <c r="AJ59" t="s">
        <v>2090</v>
      </c>
      <c r="AK59" s="17" t="s">
        <v>2091</v>
      </c>
      <c r="AL59" s="17" t="s">
        <v>2092</v>
      </c>
      <c r="AM59" s="17" t="s">
        <v>2093</v>
      </c>
      <c r="AN59" s="17" t="s">
        <v>2094</v>
      </c>
      <c r="AO59" s="28" t="s">
        <v>2095</v>
      </c>
      <c r="AP59" s="28" t="s">
        <v>2096</v>
      </c>
      <c r="AQ59" s="29" t="s">
        <v>2097</v>
      </c>
      <c r="AR59" s="33" t="s">
        <v>2098</v>
      </c>
    </row>
    <row r="60" spans="1:44">
      <c r="A60" t="s">
        <v>2099</v>
      </c>
      <c r="B60" t="s">
        <v>2100</v>
      </c>
      <c r="C60" t="s">
        <v>2101</v>
      </c>
      <c r="D60" t="s">
        <v>2102</v>
      </c>
      <c r="E60" t="s">
        <v>2103</v>
      </c>
      <c r="F60" t="s">
        <v>2104</v>
      </c>
      <c r="G60" t="s">
        <v>2105</v>
      </c>
      <c r="H60" t="s">
        <v>2106</v>
      </c>
      <c r="I60" t="s">
        <v>2107</v>
      </c>
      <c r="J60" t="s">
        <v>2108</v>
      </c>
      <c r="K60" t="s">
        <v>2109</v>
      </c>
      <c r="L60" t="s">
        <v>2110</v>
      </c>
      <c r="M60" t="s">
        <v>2111</v>
      </c>
      <c r="N60" t="s">
        <v>2112</v>
      </c>
      <c r="O60" t="s">
        <v>2113</v>
      </c>
      <c r="P60" t="s">
        <v>2114</v>
      </c>
      <c r="Q60" t="s">
        <v>2115</v>
      </c>
      <c r="R60" t="s">
        <v>2116</v>
      </c>
      <c r="S60" t="s">
        <v>2117</v>
      </c>
      <c r="T60" t="s">
        <v>2118</v>
      </c>
      <c r="U60" t="s">
        <v>2119</v>
      </c>
      <c r="V60" t="s">
        <v>2120</v>
      </c>
      <c r="W60" t="s">
        <v>2121</v>
      </c>
      <c r="X60" t="s">
        <v>2122</v>
      </c>
      <c r="Y60" t="s">
        <v>2123</v>
      </c>
      <c r="Z60" t="s">
        <v>2124</v>
      </c>
      <c r="AA60" t="s">
        <v>2125</v>
      </c>
      <c r="AB60" t="s">
        <v>2126</v>
      </c>
      <c r="AC60" t="s">
        <v>2127</v>
      </c>
      <c r="AD60" t="s">
        <v>2128</v>
      </c>
      <c r="AE60" t="s">
        <v>2129</v>
      </c>
      <c r="AF60" t="s">
        <v>2130</v>
      </c>
      <c r="AG60" t="s">
        <v>2131</v>
      </c>
      <c r="AH60" t="s">
        <v>2132</v>
      </c>
      <c r="AI60" t="s">
        <v>2133</v>
      </c>
      <c r="AJ60" t="s">
        <v>2134</v>
      </c>
      <c r="AK60" s="17" t="s">
        <v>2135</v>
      </c>
      <c r="AL60" s="17" t="s">
        <v>2136</v>
      </c>
      <c r="AM60" s="17" t="s">
        <v>2137</v>
      </c>
      <c r="AN60" s="17" t="s">
        <v>2138</v>
      </c>
      <c r="AO60" s="28" t="s">
        <v>2139</v>
      </c>
      <c r="AP60" s="28" t="s">
        <v>2140</v>
      </c>
      <c r="AQ60" s="29" t="s">
        <v>2141</v>
      </c>
      <c r="AR60" s="33" t="s">
        <v>2142</v>
      </c>
    </row>
    <row r="61" spans="1:44">
      <c r="A61" t="s">
        <v>2143</v>
      </c>
      <c r="B61" t="s">
        <v>2144</v>
      </c>
      <c r="C61" t="s">
        <v>2145</v>
      </c>
      <c r="D61" t="s">
        <v>2146</v>
      </c>
      <c r="E61" t="s">
        <v>2147</v>
      </c>
      <c r="F61" t="s">
        <v>2148</v>
      </c>
      <c r="G61" t="s">
        <v>2149</v>
      </c>
      <c r="H61" t="s">
        <v>2150</v>
      </c>
      <c r="I61" t="s">
        <v>2151</v>
      </c>
      <c r="J61" t="s">
        <v>2152</v>
      </c>
      <c r="K61" t="s">
        <v>2153</v>
      </c>
      <c r="L61" t="s">
        <v>2154</v>
      </c>
      <c r="M61" t="s">
        <v>2155</v>
      </c>
      <c r="N61" t="s">
        <v>2156</v>
      </c>
      <c r="O61" t="s">
        <v>2157</v>
      </c>
      <c r="P61" t="s">
        <v>2158</v>
      </c>
      <c r="Q61" t="s">
        <v>2159</v>
      </c>
      <c r="R61" t="s">
        <v>2160</v>
      </c>
      <c r="S61" t="s">
        <v>2161</v>
      </c>
      <c r="T61" t="s">
        <v>2162</v>
      </c>
      <c r="U61" t="s">
        <v>2163</v>
      </c>
      <c r="V61" t="s">
        <v>2164</v>
      </c>
      <c r="W61" t="s">
        <v>2165</v>
      </c>
      <c r="X61" t="s">
        <v>2166</v>
      </c>
      <c r="Y61" t="s">
        <v>2167</v>
      </c>
      <c r="Z61" t="s">
        <v>2168</v>
      </c>
      <c r="AA61" t="s">
        <v>2169</v>
      </c>
      <c r="AB61" t="s">
        <v>2170</v>
      </c>
      <c r="AC61" t="s">
        <v>2171</v>
      </c>
      <c r="AD61" t="s">
        <v>2172</v>
      </c>
      <c r="AE61" t="s">
        <v>2173</v>
      </c>
      <c r="AF61" t="s">
        <v>2174</v>
      </c>
      <c r="AG61" t="s">
        <v>2175</v>
      </c>
      <c r="AH61" t="s">
        <v>2176</v>
      </c>
      <c r="AI61" t="s">
        <v>2177</v>
      </c>
      <c r="AJ61" t="s">
        <v>2178</v>
      </c>
      <c r="AK61" s="17" t="s">
        <v>2179</v>
      </c>
      <c r="AL61" s="17" t="s">
        <v>2180</v>
      </c>
      <c r="AM61" s="17" t="s">
        <v>2181</v>
      </c>
      <c r="AN61" s="17" t="s">
        <v>2182</v>
      </c>
      <c r="AO61" s="28" t="s">
        <v>2183</v>
      </c>
      <c r="AP61" s="28" t="s">
        <v>2184</v>
      </c>
      <c r="AQ61" s="29" t="s">
        <v>2185</v>
      </c>
      <c r="AR61" s="33" t="s">
        <v>2186</v>
      </c>
    </row>
    <row r="62" spans="1:44">
      <c r="A62" t="s">
        <v>2187</v>
      </c>
      <c r="B62" t="s">
        <v>2188</v>
      </c>
      <c r="C62" t="s">
        <v>2189</v>
      </c>
      <c r="D62" t="s">
        <v>2190</v>
      </c>
      <c r="E62" t="s">
        <v>2191</v>
      </c>
      <c r="F62" t="s">
        <v>2192</v>
      </c>
      <c r="G62" t="s">
        <v>2193</v>
      </c>
      <c r="H62" t="s">
        <v>2194</v>
      </c>
      <c r="I62" t="s">
        <v>2195</v>
      </c>
      <c r="J62" t="s">
        <v>2196</v>
      </c>
      <c r="K62" t="s">
        <v>2197</v>
      </c>
      <c r="L62" t="s">
        <v>2198</v>
      </c>
      <c r="M62" t="s">
        <v>2199</v>
      </c>
      <c r="N62" t="s">
        <v>2200</v>
      </c>
      <c r="O62" t="s">
        <v>2201</v>
      </c>
      <c r="P62" t="s">
        <v>2202</v>
      </c>
      <c r="Q62" t="s">
        <v>2203</v>
      </c>
      <c r="R62" t="s">
        <v>2204</v>
      </c>
      <c r="S62" t="s">
        <v>2205</v>
      </c>
      <c r="T62" t="s">
        <v>2206</v>
      </c>
      <c r="U62" t="s">
        <v>2207</v>
      </c>
      <c r="V62" t="s">
        <v>2208</v>
      </c>
      <c r="W62" t="s">
        <v>2209</v>
      </c>
      <c r="X62" t="s">
        <v>2210</v>
      </c>
      <c r="Y62" t="s">
        <v>2211</v>
      </c>
      <c r="Z62" t="s">
        <v>2212</v>
      </c>
      <c r="AA62" t="s">
        <v>2213</v>
      </c>
      <c r="AB62" t="s">
        <v>2214</v>
      </c>
      <c r="AC62" t="s">
        <v>2215</v>
      </c>
      <c r="AD62" t="s">
        <v>2216</v>
      </c>
      <c r="AE62" t="s">
        <v>2217</v>
      </c>
      <c r="AF62" t="s">
        <v>2218</v>
      </c>
      <c r="AG62" t="s">
        <v>2219</v>
      </c>
      <c r="AH62" t="s">
        <v>2220</v>
      </c>
      <c r="AI62" t="s">
        <v>2221</v>
      </c>
      <c r="AJ62" t="s">
        <v>2222</v>
      </c>
      <c r="AK62" s="17" t="s">
        <v>2223</v>
      </c>
      <c r="AL62" s="17" t="s">
        <v>2224</v>
      </c>
      <c r="AM62" s="17" t="s">
        <v>2225</v>
      </c>
      <c r="AN62" s="17" t="s">
        <v>2226</v>
      </c>
      <c r="AO62" s="28" t="s">
        <v>2227</v>
      </c>
      <c r="AP62" s="28" t="s">
        <v>2228</v>
      </c>
      <c r="AQ62" s="29" t="s">
        <v>2229</v>
      </c>
      <c r="AR62" s="33" t="s">
        <v>2230</v>
      </c>
    </row>
    <row r="63" spans="1:44">
      <c r="A63" t="s">
        <v>2231</v>
      </c>
      <c r="B63" t="s">
        <v>2232</v>
      </c>
      <c r="C63" t="s">
        <v>2233</v>
      </c>
      <c r="D63" t="s">
        <v>2234</v>
      </c>
      <c r="E63" t="s">
        <v>2235</v>
      </c>
      <c r="F63" t="s">
        <v>2236</v>
      </c>
      <c r="G63" t="s">
        <v>2237</v>
      </c>
      <c r="H63" t="s">
        <v>2238</v>
      </c>
      <c r="I63" t="s">
        <v>2239</v>
      </c>
      <c r="J63" t="s">
        <v>2240</v>
      </c>
      <c r="K63" t="s">
        <v>2241</v>
      </c>
      <c r="L63" t="s">
        <v>2242</v>
      </c>
      <c r="M63" t="s">
        <v>2243</v>
      </c>
      <c r="N63" t="s">
        <v>2244</v>
      </c>
      <c r="O63" t="s">
        <v>2245</v>
      </c>
      <c r="P63" t="s">
        <v>2246</v>
      </c>
      <c r="Q63" t="s">
        <v>2247</v>
      </c>
      <c r="R63" t="s">
        <v>2248</v>
      </c>
      <c r="S63" t="s">
        <v>2249</v>
      </c>
      <c r="T63" t="s">
        <v>2250</v>
      </c>
      <c r="U63" t="s">
        <v>2251</v>
      </c>
      <c r="V63" t="s">
        <v>2252</v>
      </c>
      <c r="W63" t="s">
        <v>2253</v>
      </c>
      <c r="X63" t="s">
        <v>2254</v>
      </c>
      <c r="Y63" t="s">
        <v>2255</v>
      </c>
      <c r="Z63" t="s">
        <v>2256</v>
      </c>
      <c r="AA63" t="s">
        <v>2257</v>
      </c>
      <c r="AB63" t="s">
        <v>2258</v>
      </c>
      <c r="AC63" t="s">
        <v>2259</v>
      </c>
      <c r="AD63" t="s">
        <v>2260</v>
      </c>
      <c r="AE63" t="s">
        <v>2261</v>
      </c>
      <c r="AF63" t="s">
        <v>2262</v>
      </c>
      <c r="AG63" t="s">
        <v>2263</v>
      </c>
      <c r="AH63" t="s">
        <v>2264</v>
      </c>
      <c r="AI63" t="s">
        <v>2265</v>
      </c>
      <c r="AJ63" t="s">
        <v>2266</v>
      </c>
      <c r="AK63" s="17" t="s">
        <v>2267</v>
      </c>
      <c r="AL63" s="17" t="s">
        <v>2268</v>
      </c>
      <c r="AM63" s="17" t="s">
        <v>2269</v>
      </c>
      <c r="AN63" s="17" t="s">
        <v>2270</v>
      </c>
      <c r="AO63" s="28" t="s">
        <v>2271</v>
      </c>
      <c r="AP63" s="28" t="s">
        <v>2272</v>
      </c>
      <c r="AQ63" s="29" t="s">
        <v>2273</v>
      </c>
      <c r="AR63" s="33" t="s">
        <v>2274</v>
      </c>
    </row>
    <row r="64" spans="1:44">
      <c r="A64" t="s">
        <v>2275</v>
      </c>
      <c r="B64" t="s">
        <v>2276</v>
      </c>
      <c r="C64" t="s">
        <v>2277</v>
      </c>
      <c r="D64" t="s">
        <v>2278</v>
      </c>
      <c r="E64" t="s">
        <v>2279</v>
      </c>
      <c r="F64" t="s">
        <v>2280</v>
      </c>
      <c r="G64" t="s">
        <v>2281</v>
      </c>
      <c r="H64" t="s">
        <v>2282</v>
      </c>
      <c r="I64" t="s">
        <v>2283</v>
      </c>
      <c r="J64" t="s">
        <v>2284</v>
      </c>
      <c r="K64" t="s">
        <v>2285</v>
      </c>
      <c r="L64" t="s">
        <v>2286</v>
      </c>
      <c r="M64" t="s">
        <v>2287</v>
      </c>
      <c r="N64" t="s">
        <v>2288</v>
      </c>
      <c r="O64" t="s">
        <v>2289</v>
      </c>
      <c r="P64" t="s">
        <v>2290</v>
      </c>
      <c r="Q64" t="s">
        <v>2291</v>
      </c>
      <c r="R64" t="s">
        <v>2292</v>
      </c>
      <c r="S64" t="s">
        <v>2293</v>
      </c>
      <c r="T64" t="s">
        <v>2294</v>
      </c>
      <c r="U64" t="s">
        <v>2295</v>
      </c>
      <c r="V64" t="s">
        <v>2296</v>
      </c>
      <c r="W64" t="s">
        <v>2297</v>
      </c>
      <c r="X64" t="s">
        <v>2298</v>
      </c>
      <c r="Y64" t="s">
        <v>2299</v>
      </c>
      <c r="Z64" t="s">
        <v>2300</v>
      </c>
      <c r="AA64" t="s">
        <v>2301</v>
      </c>
      <c r="AB64" t="s">
        <v>2302</v>
      </c>
      <c r="AC64" t="s">
        <v>2303</v>
      </c>
      <c r="AD64" t="s">
        <v>2304</v>
      </c>
      <c r="AE64" t="s">
        <v>2305</v>
      </c>
      <c r="AF64" t="s">
        <v>2306</v>
      </c>
      <c r="AG64" t="s">
        <v>2307</v>
      </c>
      <c r="AH64" t="s">
        <v>2308</v>
      </c>
      <c r="AI64" t="s">
        <v>2309</v>
      </c>
      <c r="AJ64" t="s">
        <v>2310</v>
      </c>
      <c r="AK64" s="17" t="s">
        <v>2311</v>
      </c>
      <c r="AL64" s="17" t="s">
        <v>2312</v>
      </c>
      <c r="AM64" s="17" t="s">
        <v>2313</v>
      </c>
      <c r="AN64" s="17" t="s">
        <v>2314</v>
      </c>
      <c r="AO64" s="28" t="s">
        <v>2315</v>
      </c>
      <c r="AP64" s="28" t="s">
        <v>2316</v>
      </c>
      <c r="AQ64" s="29" t="s">
        <v>2317</v>
      </c>
      <c r="AR64" s="33" t="s">
        <v>2318</v>
      </c>
    </row>
    <row r="65" spans="1:44">
      <c r="A65" t="s">
        <v>2319</v>
      </c>
      <c r="B65" t="s">
        <v>2320</v>
      </c>
      <c r="C65" t="s">
        <v>2321</v>
      </c>
      <c r="D65" t="s">
        <v>2322</v>
      </c>
      <c r="E65" t="s">
        <v>2323</v>
      </c>
      <c r="F65" t="s">
        <v>2324</v>
      </c>
      <c r="G65" t="s">
        <v>2325</v>
      </c>
      <c r="H65" t="s">
        <v>2326</v>
      </c>
      <c r="I65" t="s">
        <v>2327</v>
      </c>
      <c r="J65" t="s">
        <v>2328</v>
      </c>
      <c r="K65" t="s">
        <v>2329</v>
      </c>
      <c r="L65" t="s">
        <v>2330</v>
      </c>
      <c r="M65" t="s">
        <v>2331</v>
      </c>
      <c r="N65" t="s">
        <v>2332</v>
      </c>
      <c r="O65" t="s">
        <v>2333</v>
      </c>
      <c r="P65" t="s">
        <v>2334</v>
      </c>
      <c r="Q65" t="s">
        <v>2335</v>
      </c>
      <c r="R65" t="s">
        <v>2336</v>
      </c>
      <c r="S65" t="s">
        <v>2337</v>
      </c>
      <c r="T65" t="s">
        <v>2338</v>
      </c>
      <c r="U65" t="s">
        <v>2339</v>
      </c>
      <c r="V65" t="s">
        <v>2340</v>
      </c>
      <c r="W65" t="s">
        <v>2341</v>
      </c>
      <c r="X65" t="s">
        <v>2342</v>
      </c>
      <c r="Y65" t="s">
        <v>2343</v>
      </c>
      <c r="Z65" t="s">
        <v>2344</v>
      </c>
      <c r="AA65" t="s">
        <v>2345</v>
      </c>
      <c r="AB65" t="s">
        <v>2346</v>
      </c>
      <c r="AC65" t="s">
        <v>2347</v>
      </c>
      <c r="AD65" t="s">
        <v>2348</v>
      </c>
      <c r="AE65" t="s">
        <v>2349</v>
      </c>
      <c r="AF65" t="s">
        <v>2350</v>
      </c>
      <c r="AG65" t="s">
        <v>2351</v>
      </c>
      <c r="AH65" t="s">
        <v>2352</v>
      </c>
      <c r="AI65" t="s">
        <v>2353</v>
      </c>
      <c r="AJ65" t="s">
        <v>2354</v>
      </c>
      <c r="AK65" s="17" t="s">
        <v>2355</v>
      </c>
      <c r="AL65" s="17" t="s">
        <v>2356</v>
      </c>
      <c r="AM65" s="17" t="s">
        <v>2357</v>
      </c>
      <c r="AN65" s="17" t="s">
        <v>2358</v>
      </c>
      <c r="AO65" s="28" t="s">
        <v>2359</v>
      </c>
      <c r="AP65" s="28" t="s">
        <v>2360</v>
      </c>
      <c r="AQ65" s="29" t="s">
        <v>2361</v>
      </c>
      <c r="AR65" s="33" t="s">
        <v>2362</v>
      </c>
    </row>
    <row r="66" spans="1:44">
      <c r="A66" t="s">
        <v>2363</v>
      </c>
      <c r="B66" t="s">
        <v>2364</v>
      </c>
      <c r="C66" t="s">
        <v>2365</v>
      </c>
      <c r="D66" t="s">
        <v>2366</v>
      </c>
      <c r="E66" t="s">
        <v>2367</v>
      </c>
      <c r="F66" t="s">
        <v>2368</v>
      </c>
      <c r="G66" t="s">
        <v>2369</v>
      </c>
      <c r="H66" t="s">
        <v>2370</v>
      </c>
      <c r="I66" t="s">
        <v>2371</v>
      </c>
      <c r="J66" t="s">
        <v>2372</v>
      </c>
      <c r="K66" t="s">
        <v>2373</v>
      </c>
      <c r="L66" t="s">
        <v>2374</v>
      </c>
      <c r="M66" t="s">
        <v>2375</v>
      </c>
      <c r="N66" t="s">
        <v>2376</v>
      </c>
      <c r="O66" t="s">
        <v>2377</v>
      </c>
      <c r="P66" t="s">
        <v>2378</v>
      </c>
      <c r="Q66" t="s">
        <v>2379</v>
      </c>
      <c r="R66" t="s">
        <v>2380</v>
      </c>
      <c r="S66" t="s">
        <v>2381</v>
      </c>
      <c r="T66" t="s">
        <v>2382</v>
      </c>
      <c r="U66" t="s">
        <v>2383</v>
      </c>
      <c r="V66" t="s">
        <v>2384</v>
      </c>
      <c r="W66" t="s">
        <v>2385</v>
      </c>
      <c r="X66" t="s">
        <v>2386</v>
      </c>
      <c r="Y66" t="s">
        <v>2387</v>
      </c>
      <c r="Z66" t="s">
        <v>2388</v>
      </c>
      <c r="AA66" t="s">
        <v>2389</v>
      </c>
      <c r="AB66" t="s">
        <v>2390</v>
      </c>
      <c r="AC66" t="s">
        <v>2391</v>
      </c>
      <c r="AD66" t="s">
        <v>2392</v>
      </c>
      <c r="AE66" t="s">
        <v>2393</v>
      </c>
      <c r="AF66" t="s">
        <v>2394</v>
      </c>
      <c r="AG66" t="s">
        <v>2395</v>
      </c>
      <c r="AH66" t="s">
        <v>2396</v>
      </c>
      <c r="AI66" t="s">
        <v>2397</v>
      </c>
      <c r="AJ66" t="s">
        <v>2398</v>
      </c>
      <c r="AK66" s="17" t="s">
        <v>2399</v>
      </c>
      <c r="AL66" s="17" t="s">
        <v>2400</v>
      </c>
      <c r="AM66" s="17" t="s">
        <v>2401</v>
      </c>
      <c r="AN66" s="17" t="s">
        <v>2402</v>
      </c>
      <c r="AO66" s="28" t="s">
        <v>2403</v>
      </c>
      <c r="AP66" s="28" t="s">
        <v>2404</v>
      </c>
      <c r="AQ66" s="29" t="s">
        <v>2405</v>
      </c>
      <c r="AR66" s="33" t="s">
        <v>2406</v>
      </c>
    </row>
    <row r="67" spans="1:44">
      <c r="A67" t="s">
        <v>2407</v>
      </c>
      <c r="B67" t="s">
        <v>2408</v>
      </c>
      <c r="C67" t="s">
        <v>2409</v>
      </c>
      <c r="D67" t="s">
        <v>2410</v>
      </c>
      <c r="E67" t="s">
        <v>2411</v>
      </c>
      <c r="F67" t="s">
        <v>2412</v>
      </c>
      <c r="G67" t="s">
        <v>2413</v>
      </c>
      <c r="H67" t="s">
        <v>2414</v>
      </c>
      <c r="I67" t="s">
        <v>2415</v>
      </c>
      <c r="J67" t="s">
        <v>2416</v>
      </c>
      <c r="K67" t="s">
        <v>2417</v>
      </c>
      <c r="L67" t="s">
        <v>2418</v>
      </c>
      <c r="M67" t="s">
        <v>2419</v>
      </c>
      <c r="N67" t="s">
        <v>2420</v>
      </c>
      <c r="O67" t="s">
        <v>2421</v>
      </c>
      <c r="P67" t="s">
        <v>2422</v>
      </c>
      <c r="Q67" t="s">
        <v>2423</v>
      </c>
      <c r="R67" t="s">
        <v>2424</v>
      </c>
      <c r="S67" t="s">
        <v>2425</v>
      </c>
      <c r="T67" t="s">
        <v>2426</v>
      </c>
      <c r="U67" t="s">
        <v>2427</v>
      </c>
      <c r="V67" t="s">
        <v>2428</v>
      </c>
      <c r="W67" t="s">
        <v>2429</v>
      </c>
      <c r="X67" t="s">
        <v>2430</v>
      </c>
      <c r="Y67" t="s">
        <v>2431</v>
      </c>
      <c r="Z67" t="s">
        <v>2432</v>
      </c>
      <c r="AA67" t="s">
        <v>2433</v>
      </c>
      <c r="AB67" t="s">
        <v>2434</v>
      </c>
      <c r="AC67" t="s">
        <v>2435</v>
      </c>
      <c r="AD67" t="s">
        <v>2436</v>
      </c>
      <c r="AE67" t="s">
        <v>2437</v>
      </c>
      <c r="AF67" t="s">
        <v>2438</v>
      </c>
      <c r="AG67" t="s">
        <v>2439</v>
      </c>
      <c r="AH67" t="s">
        <v>2440</v>
      </c>
      <c r="AI67" t="s">
        <v>2441</v>
      </c>
      <c r="AJ67" t="s">
        <v>2442</v>
      </c>
      <c r="AK67" s="17" t="s">
        <v>2443</v>
      </c>
      <c r="AL67" s="17" t="s">
        <v>2444</v>
      </c>
      <c r="AM67" s="17" t="s">
        <v>2445</v>
      </c>
      <c r="AN67" s="17" t="s">
        <v>2446</v>
      </c>
      <c r="AO67" s="28" t="s">
        <v>2447</v>
      </c>
      <c r="AP67" s="28" t="s">
        <v>2448</v>
      </c>
      <c r="AQ67" s="29" t="s">
        <v>2449</v>
      </c>
      <c r="AR67" s="33" t="s">
        <v>2450</v>
      </c>
    </row>
    <row r="68" spans="1:44">
      <c r="A68" t="s">
        <v>2451</v>
      </c>
      <c r="B68" t="s">
        <v>2452</v>
      </c>
      <c r="C68" t="s">
        <v>2453</v>
      </c>
      <c r="D68" t="s">
        <v>2454</v>
      </c>
      <c r="E68" t="s">
        <v>2455</v>
      </c>
      <c r="F68" t="s">
        <v>2456</v>
      </c>
      <c r="G68" t="s">
        <v>2457</v>
      </c>
      <c r="H68" t="s">
        <v>2458</v>
      </c>
      <c r="I68" t="s">
        <v>2459</v>
      </c>
      <c r="J68" t="s">
        <v>2460</v>
      </c>
      <c r="K68" t="s">
        <v>2461</v>
      </c>
      <c r="L68" t="s">
        <v>2462</v>
      </c>
      <c r="M68" t="s">
        <v>2463</v>
      </c>
      <c r="N68" t="s">
        <v>2464</v>
      </c>
      <c r="O68" t="s">
        <v>2465</v>
      </c>
      <c r="P68" t="s">
        <v>2466</v>
      </c>
      <c r="Q68" t="s">
        <v>2467</v>
      </c>
      <c r="R68" t="s">
        <v>2468</v>
      </c>
      <c r="S68" t="s">
        <v>2469</v>
      </c>
      <c r="T68" t="s">
        <v>2470</v>
      </c>
      <c r="U68" t="s">
        <v>2471</v>
      </c>
      <c r="V68" t="s">
        <v>2472</v>
      </c>
      <c r="W68" t="s">
        <v>2473</v>
      </c>
      <c r="X68" t="s">
        <v>2474</v>
      </c>
      <c r="Y68" t="s">
        <v>2475</v>
      </c>
      <c r="Z68" t="s">
        <v>2476</v>
      </c>
      <c r="AA68" t="s">
        <v>2477</v>
      </c>
      <c r="AB68" t="s">
        <v>2478</v>
      </c>
      <c r="AC68" t="s">
        <v>2479</v>
      </c>
      <c r="AD68" t="s">
        <v>2480</v>
      </c>
      <c r="AE68" t="s">
        <v>2481</v>
      </c>
      <c r="AF68" t="s">
        <v>2482</v>
      </c>
      <c r="AG68" t="s">
        <v>2483</v>
      </c>
      <c r="AH68" t="s">
        <v>2484</v>
      </c>
      <c r="AI68" t="s">
        <v>2485</v>
      </c>
      <c r="AJ68" t="s">
        <v>2486</v>
      </c>
      <c r="AK68" s="17" t="s">
        <v>2487</v>
      </c>
      <c r="AL68" s="17" t="s">
        <v>2488</v>
      </c>
      <c r="AM68" s="17" t="s">
        <v>2489</v>
      </c>
      <c r="AN68" s="17" t="s">
        <v>2490</v>
      </c>
      <c r="AO68" s="28" t="s">
        <v>2491</v>
      </c>
      <c r="AP68" s="28" t="s">
        <v>2492</v>
      </c>
      <c r="AQ68" s="29" t="s">
        <v>2493</v>
      </c>
      <c r="AR68" s="33" t="s">
        <v>2494</v>
      </c>
    </row>
    <row r="69" spans="1:44">
      <c r="A69" t="s">
        <v>2495</v>
      </c>
      <c r="B69" t="s">
        <v>2496</v>
      </c>
      <c r="C69" t="s">
        <v>2497</v>
      </c>
      <c r="D69" t="s">
        <v>2498</v>
      </c>
      <c r="E69" t="s">
        <v>2499</v>
      </c>
      <c r="F69" t="s">
        <v>2500</v>
      </c>
      <c r="G69" t="s">
        <v>2501</v>
      </c>
      <c r="H69" t="s">
        <v>2502</v>
      </c>
      <c r="I69" t="s">
        <v>2503</v>
      </c>
      <c r="J69" t="s">
        <v>2504</v>
      </c>
      <c r="K69" t="s">
        <v>2505</v>
      </c>
      <c r="L69" t="s">
        <v>2506</v>
      </c>
      <c r="M69" t="s">
        <v>2507</v>
      </c>
      <c r="N69" t="s">
        <v>2508</v>
      </c>
      <c r="O69" t="s">
        <v>2509</v>
      </c>
      <c r="P69" t="s">
        <v>2510</v>
      </c>
      <c r="Q69" t="s">
        <v>2511</v>
      </c>
      <c r="R69" t="s">
        <v>2512</v>
      </c>
      <c r="S69" t="s">
        <v>2513</v>
      </c>
      <c r="T69" t="s">
        <v>2514</v>
      </c>
      <c r="U69" t="s">
        <v>2515</v>
      </c>
      <c r="V69" t="s">
        <v>2516</v>
      </c>
      <c r="W69" t="s">
        <v>2517</v>
      </c>
      <c r="X69" t="s">
        <v>2518</v>
      </c>
      <c r="Y69" t="s">
        <v>2519</v>
      </c>
      <c r="Z69" t="s">
        <v>2520</v>
      </c>
      <c r="AA69" t="s">
        <v>2521</v>
      </c>
      <c r="AB69" t="s">
        <v>2522</v>
      </c>
      <c r="AC69" t="s">
        <v>2523</v>
      </c>
      <c r="AD69" t="s">
        <v>2524</v>
      </c>
      <c r="AE69" t="s">
        <v>2525</v>
      </c>
      <c r="AF69" t="s">
        <v>2526</v>
      </c>
      <c r="AG69" t="s">
        <v>2527</v>
      </c>
      <c r="AH69" t="s">
        <v>2528</v>
      </c>
      <c r="AI69" t="s">
        <v>2529</v>
      </c>
      <c r="AJ69" t="s">
        <v>2530</v>
      </c>
      <c r="AK69" s="17" t="s">
        <v>2531</v>
      </c>
      <c r="AL69" s="17" t="s">
        <v>2532</v>
      </c>
      <c r="AM69" s="17" t="s">
        <v>2533</v>
      </c>
      <c r="AN69" s="17" t="s">
        <v>2534</v>
      </c>
      <c r="AO69" s="28" t="s">
        <v>2535</v>
      </c>
      <c r="AP69" s="28" t="s">
        <v>2536</v>
      </c>
      <c r="AQ69" s="29" t="s">
        <v>2537</v>
      </c>
      <c r="AR69" s="33" t="s">
        <v>2538</v>
      </c>
    </row>
    <row r="70" spans="1:44">
      <c r="A70" t="s">
        <v>2539</v>
      </c>
      <c r="B70" t="s">
        <v>2540</v>
      </c>
      <c r="C70" t="s">
        <v>2541</v>
      </c>
      <c r="D70" t="s">
        <v>2542</v>
      </c>
      <c r="E70" t="s">
        <v>2543</v>
      </c>
      <c r="F70" t="s">
        <v>2544</v>
      </c>
      <c r="G70" t="s">
        <v>2545</v>
      </c>
      <c r="H70" t="s">
        <v>2546</v>
      </c>
      <c r="I70" t="s">
        <v>2547</v>
      </c>
      <c r="J70" t="s">
        <v>2548</v>
      </c>
      <c r="K70" t="s">
        <v>2549</v>
      </c>
      <c r="L70" t="s">
        <v>2550</v>
      </c>
      <c r="M70" t="s">
        <v>2551</v>
      </c>
      <c r="N70" t="s">
        <v>2552</v>
      </c>
      <c r="O70" t="s">
        <v>2553</v>
      </c>
      <c r="P70" t="s">
        <v>2554</v>
      </c>
      <c r="Q70" t="s">
        <v>2555</v>
      </c>
      <c r="R70" t="s">
        <v>2556</v>
      </c>
      <c r="S70" t="s">
        <v>2557</v>
      </c>
      <c r="T70" t="s">
        <v>2558</v>
      </c>
      <c r="U70" t="s">
        <v>2559</v>
      </c>
      <c r="V70" t="s">
        <v>2560</v>
      </c>
      <c r="W70" t="s">
        <v>2561</v>
      </c>
      <c r="X70" t="s">
        <v>2562</v>
      </c>
      <c r="Y70" t="s">
        <v>2563</v>
      </c>
      <c r="Z70" t="s">
        <v>2564</v>
      </c>
      <c r="AA70" t="s">
        <v>2565</v>
      </c>
      <c r="AB70" t="s">
        <v>2566</v>
      </c>
      <c r="AC70" t="s">
        <v>2567</v>
      </c>
      <c r="AD70" t="s">
        <v>2568</v>
      </c>
      <c r="AE70" t="s">
        <v>2569</v>
      </c>
      <c r="AF70" t="s">
        <v>2570</v>
      </c>
      <c r="AG70" t="s">
        <v>2571</v>
      </c>
      <c r="AH70" t="s">
        <v>2572</v>
      </c>
      <c r="AI70" t="s">
        <v>2573</v>
      </c>
      <c r="AJ70" t="s">
        <v>2574</v>
      </c>
      <c r="AK70" s="17" t="s">
        <v>2575</v>
      </c>
      <c r="AL70" s="17" t="s">
        <v>2576</v>
      </c>
      <c r="AM70" s="17" t="s">
        <v>2577</v>
      </c>
      <c r="AN70" s="17" t="s">
        <v>2578</v>
      </c>
      <c r="AO70" s="28" t="s">
        <v>2579</v>
      </c>
      <c r="AP70" s="28" t="s">
        <v>2580</v>
      </c>
      <c r="AQ70" s="29" t="s">
        <v>2581</v>
      </c>
      <c r="AR70" s="33" t="s">
        <v>2582</v>
      </c>
    </row>
    <row r="71" spans="1:44">
      <c r="A71" t="s">
        <v>2583</v>
      </c>
      <c r="B71" t="s">
        <v>2584</v>
      </c>
      <c r="C71" t="s">
        <v>2585</v>
      </c>
      <c r="D71" t="s">
        <v>2586</v>
      </c>
      <c r="E71" t="s">
        <v>2587</v>
      </c>
      <c r="F71" t="s">
        <v>2588</v>
      </c>
      <c r="G71" t="s">
        <v>2589</v>
      </c>
      <c r="H71" t="s">
        <v>2590</v>
      </c>
      <c r="I71" t="s">
        <v>2591</v>
      </c>
      <c r="J71" t="s">
        <v>2592</v>
      </c>
      <c r="K71" t="s">
        <v>2593</v>
      </c>
      <c r="L71" t="s">
        <v>2594</v>
      </c>
      <c r="M71" t="s">
        <v>2595</v>
      </c>
      <c r="N71" t="s">
        <v>2596</v>
      </c>
      <c r="O71" t="s">
        <v>2597</v>
      </c>
      <c r="P71" t="s">
        <v>2598</v>
      </c>
      <c r="Q71" t="s">
        <v>2599</v>
      </c>
      <c r="R71" t="s">
        <v>2600</v>
      </c>
      <c r="S71" t="s">
        <v>2601</v>
      </c>
      <c r="T71" t="s">
        <v>2602</v>
      </c>
      <c r="U71" t="s">
        <v>2603</v>
      </c>
      <c r="V71" t="s">
        <v>2604</v>
      </c>
      <c r="W71" t="s">
        <v>2605</v>
      </c>
      <c r="X71" t="s">
        <v>2606</v>
      </c>
      <c r="Y71" t="s">
        <v>2607</v>
      </c>
      <c r="Z71" t="s">
        <v>2608</v>
      </c>
      <c r="AA71" t="s">
        <v>2609</v>
      </c>
      <c r="AB71" t="s">
        <v>2610</v>
      </c>
      <c r="AC71" t="s">
        <v>2611</v>
      </c>
      <c r="AD71" t="s">
        <v>2612</v>
      </c>
      <c r="AE71" t="s">
        <v>2613</v>
      </c>
      <c r="AF71" t="s">
        <v>2614</v>
      </c>
      <c r="AG71" t="s">
        <v>2615</v>
      </c>
      <c r="AH71" t="s">
        <v>2616</v>
      </c>
      <c r="AI71" t="s">
        <v>2617</v>
      </c>
      <c r="AJ71" t="s">
        <v>2618</v>
      </c>
      <c r="AK71" s="17" t="s">
        <v>2619</v>
      </c>
      <c r="AL71" s="17" t="s">
        <v>2620</v>
      </c>
      <c r="AM71" s="17" t="s">
        <v>2621</v>
      </c>
      <c r="AN71" s="17" t="s">
        <v>2622</v>
      </c>
      <c r="AO71" s="28" t="s">
        <v>2623</v>
      </c>
      <c r="AP71" s="28" t="s">
        <v>2624</v>
      </c>
      <c r="AQ71" s="29" t="s">
        <v>2625</v>
      </c>
      <c r="AR71" s="33" t="s">
        <v>2626</v>
      </c>
    </row>
    <row r="72" spans="1:44">
      <c r="A72" t="s">
        <v>2627</v>
      </c>
      <c r="B72" t="s">
        <v>2628</v>
      </c>
      <c r="C72" t="s">
        <v>2629</v>
      </c>
      <c r="D72" t="s">
        <v>2630</v>
      </c>
      <c r="E72" t="s">
        <v>2631</v>
      </c>
      <c r="F72" t="s">
        <v>2632</v>
      </c>
      <c r="G72" t="s">
        <v>2633</v>
      </c>
      <c r="H72" t="s">
        <v>2634</v>
      </c>
      <c r="I72" t="s">
        <v>2635</v>
      </c>
      <c r="J72" t="s">
        <v>2636</v>
      </c>
      <c r="K72" t="s">
        <v>2637</v>
      </c>
      <c r="L72" t="s">
        <v>2638</v>
      </c>
      <c r="M72" t="s">
        <v>2639</v>
      </c>
      <c r="N72" t="s">
        <v>2640</v>
      </c>
      <c r="O72" t="s">
        <v>2641</v>
      </c>
      <c r="P72" t="s">
        <v>2642</v>
      </c>
      <c r="Q72" t="s">
        <v>2643</v>
      </c>
      <c r="R72" t="s">
        <v>2644</v>
      </c>
      <c r="S72" t="s">
        <v>2645</v>
      </c>
      <c r="T72" t="s">
        <v>2646</v>
      </c>
      <c r="U72" t="s">
        <v>2647</v>
      </c>
      <c r="V72" t="s">
        <v>2648</v>
      </c>
      <c r="W72" t="s">
        <v>2649</v>
      </c>
      <c r="X72" t="s">
        <v>2650</v>
      </c>
      <c r="Y72" t="s">
        <v>2651</v>
      </c>
      <c r="Z72" t="s">
        <v>2652</v>
      </c>
      <c r="AA72" t="s">
        <v>2653</v>
      </c>
      <c r="AB72" t="s">
        <v>2654</v>
      </c>
      <c r="AC72" t="s">
        <v>2655</v>
      </c>
      <c r="AD72" t="s">
        <v>2656</v>
      </c>
      <c r="AE72" t="s">
        <v>2657</v>
      </c>
      <c r="AF72" t="s">
        <v>2658</v>
      </c>
      <c r="AG72" t="s">
        <v>2659</v>
      </c>
      <c r="AH72" t="s">
        <v>2660</v>
      </c>
      <c r="AI72" t="s">
        <v>2661</v>
      </c>
      <c r="AJ72" t="s">
        <v>2662</v>
      </c>
      <c r="AK72" s="17" t="s">
        <v>2663</v>
      </c>
      <c r="AL72" s="17" t="s">
        <v>2664</v>
      </c>
      <c r="AM72" s="17" t="s">
        <v>2665</v>
      </c>
      <c r="AN72" s="17" t="s">
        <v>2666</v>
      </c>
      <c r="AO72" s="28" t="s">
        <v>2667</v>
      </c>
      <c r="AP72" s="28" t="s">
        <v>2668</v>
      </c>
      <c r="AQ72" s="29" t="s">
        <v>2669</v>
      </c>
      <c r="AR72" s="33" t="s">
        <v>2670</v>
      </c>
    </row>
    <row r="73" spans="1:44">
      <c r="A73" t="s">
        <v>2671</v>
      </c>
      <c r="B73" t="s">
        <v>2672</v>
      </c>
      <c r="C73" t="s">
        <v>2673</v>
      </c>
      <c r="D73" t="s">
        <v>2674</v>
      </c>
      <c r="E73" t="s">
        <v>2675</v>
      </c>
      <c r="F73" t="s">
        <v>2676</v>
      </c>
      <c r="G73" t="s">
        <v>2677</v>
      </c>
      <c r="H73" t="s">
        <v>2678</v>
      </c>
      <c r="I73" t="s">
        <v>2679</v>
      </c>
      <c r="J73" t="s">
        <v>2680</v>
      </c>
      <c r="K73" t="s">
        <v>2681</v>
      </c>
      <c r="L73" t="s">
        <v>2682</v>
      </c>
      <c r="M73" t="s">
        <v>2683</v>
      </c>
      <c r="N73" t="s">
        <v>2684</v>
      </c>
      <c r="O73" t="s">
        <v>2685</v>
      </c>
      <c r="P73" t="s">
        <v>2686</v>
      </c>
      <c r="Q73" t="s">
        <v>2687</v>
      </c>
      <c r="R73" t="s">
        <v>2688</v>
      </c>
      <c r="S73" t="s">
        <v>2689</v>
      </c>
      <c r="T73" t="s">
        <v>2690</v>
      </c>
      <c r="U73" t="s">
        <v>2691</v>
      </c>
      <c r="V73" t="s">
        <v>2692</v>
      </c>
      <c r="W73" t="s">
        <v>2693</v>
      </c>
      <c r="X73" t="s">
        <v>2694</v>
      </c>
      <c r="Y73" t="s">
        <v>2695</v>
      </c>
      <c r="Z73" t="s">
        <v>2696</v>
      </c>
      <c r="AA73" t="s">
        <v>2697</v>
      </c>
      <c r="AB73" t="s">
        <v>2698</v>
      </c>
      <c r="AC73" t="s">
        <v>2699</v>
      </c>
      <c r="AD73" t="s">
        <v>2700</v>
      </c>
      <c r="AE73" t="s">
        <v>2701</v>
      </c>
      <c r="AF73" t="s">
        <v>2702</v>
      </c>
      <c r="AG73" t="s">
        <v>2703</v>
      </c>
      <c r="AH73" t="s">
        <v>2704</v>
      </c>
      <c r="AI73" t="s">
        <v>2705</v>
      </c>
      <c r="AJ73" t="s">
        <v>2706</v>
      </c>
      <c r="AK73" s="17" t="s">
        <v>2707</v>
      </c>
      <c r="AL73" s="17" t="s">
        <v>2708</v>
      </c>
      <c r="AM73" s="17" t="s">
        <v>2709</v>
      </c>
      <c r="AN73" s="17" t="s">
        <v>2710</v>
      </c>
      <c r="AO73" s="28" t="s">
        <v>2711</v>
      </c>
      <c r="AP73" s="28" t="s">
        <v>2712</v>
      </c>
      <c r="AQ73" s="29" t="s">
        <v>2713</v>
      </c>
      <c r="AR73" s="33" t="s">
        <v>2714</v>
      </c>
    </row>
    <row r="74" spans="1:44">
      <c r="A74" t="s">
        <v>2715</v>
      </c>
      <c r="B74" t="s">
        <v>2716</v>
      </c>
      <c r="C74" t="s">
        <v>2717</v>
      </c>
      <c r="D74" t="s">
        <v>2718</v>
      </c>
      <c r="E74" t="s">
        <v>2719</v>
      </c>
      <c r="F74" t="s">
        <v>2720</v>
      </c>
      <c r="G74" t="s">
        <v>2721</v>
      </c>
      <c r="H74" t="s">
        <v>2722</v>
      </c>
      <c r="I74" t="s">
        <v>2723</v>
      </c>
      <c r="J74" t="s">
        <v>2724</v>
      </c>
      <c r="K74" t="s">
        <v>2725</v>
      </c>
      <c r="L74" t="s">
        <v>2726</v>
      </c>
      <c r="M74" t="s">
        <v>2727</v>
      </c>
      <c r="N74" t="s">
        <v>2728</v>
      </c>
      <c r="O74" t="s">
        <v>2729</v>
      </c>
      <c r="P74" t="s">
        <v>2730</v>
      </c>
      <c r="Q74" t="s">
        <v>2731</v>
      </c>
      <c r="R74" t="s">
        <v>2732</v>
      </c>
      <c r="S74" t="s">
        <v>2733</v>
      </c>
      <c r="T74" t="s">
        <v>2734</v>
      </c>
      <c r="U74" t="s">
        <v>2735</v>
      </c>
      <c r="V74" t="s">
        <v>2736</v>
      </c>
      <c r="W74" t="s">
        <v>2737</v>
      </c>
      <c r="X74" t="s">
        <v>2738</v>
      </c>
      <c r="Y74" t="s">
        <v>2739</v>
      </c>
      <c r="Z74" t="s">
        <v>2740</v>
      </c>
      <c r="AA74" t="s">
        <v>2741</v>
      </c>
      <c r="AB74" t="s">
        <v>2742</v>
      </c>
      <c r="AC74" t="s">
        <v>2743</v>
      </c>
      <c r="AD74" t="s">
        <v>2744</v>
      </c>
      <c r="AE74" t="s">
        <v>2745</v>
      </c>
      <c r="AF74" t="s">
        <v>2746</v>
      </c>
      <c r="AG74" t="s">
        <v>2747</v>
      </c>
      <c r="AH74" t="s">
        <v>2748</v>
      </c>
      <c r="AI74" t="s">
        <v>2705</v>
      </c>
      <c r="AJ74" t="s">
        <v>2749</v>
      </c>
      <c r="AK74" s="17" t="s">
        <v>2750</v>
      </c>
      <c r="AL74" s="17" t="s">
        <v>2751</v>
      </c>
      <c r="AM74" s="17" t="s">
        <v>2752</v>
      </c>
      <c r="AN74" s="17" t="s">
        <v>2753</v>
      </c>
      <c r="AO74" s="28" t="s">
        <v>2754</v>
      </c>
      <c r="AP74" s="28" t="s">
        <v>2755</v>
      </c>
      <c r="AQ74" s="29" t="s">
        <v>2756</v>
      </c>
      <c r="AR74" s="33" t="s">
        <v>2757</v>
      </c>
    </row>
    <row r="75" spans="1:44">
      <c r="A75" t="s">
        <v>2758</v>
      </c>
      <c r="B75" t="s">
        <v>2759</v>
      </c>
      <c r="C75" t="s">
        <v>2760</v>
      </c>
      <c r="D75" t="s">
        <v>2761</v>
      </c>
      <c r="E75" t="s">
        <v>2762</v>
      </c>
      <c r="F75" t="s">
        <v>2763</v>
      </c>
      <c r="G75" t="s">
        <v>2764</v>
      </c>
      <c r="H75" t="s">
        <v>2765</v>
      </c>
      <c r="I75" t="s">
        <v>2766</v>
      </c>
      <c r="J75" t="s">
        <v>2767</v>
      </c>
      <c r="K75" t="s">
        <v>2768</v>
      </c>
      <c r="L75" t="s">
        <v>2769</v>
      </c>
      <c r="M75" t="s">
        <v>2770</v>
      </c>
      <c r="N75" t="s">
        <v>2771</v>
      </c>
      <c r="O75" t="s">
        <v>2772</v>
      </c>
      <c r="P75" t="s">
        <v>2773</v>
      </c>
      <c r="Q75" t="s">
        <v>2774</v>
      </c>
      <c r="R75" t="s">
        <v>2775</v>
      </c>
      <c r="S75" t="s">
        <v>2776</v>
      </c>
      <c r="T75" t="s">
        <v>2777</v>
      </c>
      <c r="U75" t="s">
        <v>2778</v>
      </c>
      <c r="V75" t="s">
        <v>2779</v>
      </c>
      <c r="W75" t="s">
        <v>2780</v>
      </c>
      <c r="X75" t="s">
        <v>2781</v>
      </c>
      <c r="Y75" t="s">
        <v>2782</v>
      </c>
      <c r="Z75" t="s">
        <v>2783</v>
      </c>
      <c r="AA75" t="s">
        <v>2784</v>
      </c>
      <c r="AB75" t="s">
        <v>2785</v>
      </c>
      <c r="AC75" t="s">
        <v>2786</v>
      </c>
      <c r="AD75" t="s">
        <v>2787</v>
      </c>
      <c r="AE75" t="s">
        <v>2788</v>
      </c>
      <c r="AF75" t="s">
        <v>2789</v>
      </c>
      <c r="AG75" t="s">
        <v>2790</v>
      </c>
      <c r="AH75" t="s">
        <v>2791</v>
      </c>
      <c r="AI75" t="s">
        <v>2792</v>
      </c>
      <c r="AJ75" t="s">
        <v>2793</v>
      </c>
      <c r="AK75" s="17" t="s">
        <v>2794</v>
      </c>
      <c r="AL75" s="17" t="s">
        <v>2795</v>
      </c>
      <c r="AM75" s="17" t="s">
        <v>2796</v>
      </c>
      <c r="AN75" s="17" t="s">
        <v>2797</v>
      </c>
      <c r="AO75" s="28" t="s">
        <v>2798</v>
      </c>
      <c r="AP75" s="28" t="s">
        <v>2799</v>
      </c>
      <c r="AQ75" s="29" t="s">
        <v>2800</v>
      </c>
      <c r="AR75" s="33" t="s">
        <v>2801</v>
      </c>
    </row>
    <row r="76" spans="1:44">
      <c r="A76" t="s">
        <v>2802</v>
      </c>
      <c r="B76" t="s">
        <v>2803</v>
      </c>
      <c r="C76" t="s">
        <v>2804</v>
      </c>
      <c r="D76" t="s">
        <v>2805</v>
      </c>
      <c r="E76" t="s">
        <v>2806</v>
      </c>
      <c r="F76" t="s">
        <v>2807</v>
      </c>
      <c r="G76" t="s">
        <v>2808</v>
      </c>
      <c r="H76" t="s">
        <v>2809</v>
      </c>
      <c r="I76" t="s">
        <v>2810</v>
      </c>
      <c r="J76" t="s">
        <v>2811</v>
      </c>
      <c r="K76" t="s">
        <v>2812</v>
      </c>
      <c r="L76" t="s">
        <v>2813</v>
      </c>
      <c r="M76" t="s">
        <v>2814</v>
      </c>
      <c r="N76" t="s">
        <v>2815</v>
      </c>
      <c r="O76" t="s">
        <v>2816</v>
      </c>
      <c r="P76" t="s">
        <v>2817</v>
      </c>
      <c r="Q76" t="s">
        <v>2818</v>
      </c>
      <c r="R76" t="s">
        <v>2819</v>
      </c>
      <c r="S76" t="s">
        <v>2820</v>
      </c>
      <c r="T76" t="s">
        <v>2821</v>
      </c>
      <c r="U76" t="s">
        <v>2822</v>
      </c>
      <c r="V76" t="s">
        <v>2823</v>
      </c>
      <c r="W76" t="s">
        <v>2824</v>
      </c>
      <c r="X76" t="s">
        <v>2825</v>
      </c>
      <c r="Y76" t="s">
        <v>2826</v>
      </c>
      <c r="Z76" t="s">
        <v>2827</v>
      </c>
      <c r="AA76" t="s">
        <v>2828</v>
      </c>
      <c r="AB76" t="s">
        <v>2829</v>
      </c>
      <c r="AC76" t="s">
        <v>2830</v>
      </c>
      <c r="AD76" t="s">
        <v>2831</v>
      </c>
      <c r="AE76" t="s">
        <v>2832</v>
      </c>
      <c r="AF76" t="s">
        <v>2833</v>
      </c>
      <c r="AG76" t="s">
        <v>2834</v>
      </c>
      <c r="AH76" t="s">
        <v>2835</v>
      </c>
      <c r="AI76" t="s">
        <v>2836</v>
      </c>
      <c r="AJ76" t="s">
        <v>2837</v>
      </c>
      <c r="AK76" s="17" t="s">
        <v>2838</v>
      </c>
      <c r="AL76" s="17" t="s">
        <v>2839</v>
      </c>
      <c r="AM76" s="17" t="s">
        <v>2840</v>
      </c>
      <c r="AN76" s="17" t="s">
        <v>2841</v>
      </c>
      <c r="AO76" s="32" t="s">
        <v>2842</v>
      </c>
      <c r="AP76" s="30" t="s">
        <v>2843</v>
      </c>
      <c r="AQ76" s="29" t="s">
        <v>2844</v>
      </c>
      <c r="AR76" s="33" t="s">
        <v>2845</v>
      </c>
    </row>
    <row r="77" spans="1:44">
      <c r="A77" t="s">
        <v>2846</v>
      </c>
      <c r="B77" t="s">
        <v>2847</v>
      </c>
      <c r="C77" t="s">
        <v>2848</v>
      </c>
      <c r="D77" t="s">
        <v>2805</v>
      </c>
      <c r="E77" t="s">
        <v>2849</v>
      </c>
      <c r="F77" t="s">
        <v>2850</v>
      </c>
      <c r="G77" t="s">
        <v>2851</v>
      </c>
      <c r="H77" t="s">
        <v>2852</v>
      </c>
      <c r="I77" t="s">
        <v>2853</v>
      </c>
      <c r="J77" t="s">
        <v>2854</v>
      </c>
      <c r="K77" t="s">
        <v>2855</v>
      </c>
      <c r="L77" t="s">
        <v>2856</v>
      </c>
      <c r="M77" t="s">
        <v>2857</v>
      </c>
      <c r="N77" t="s">
        <v>2858</v>
      </c>
      <c r="O77" t="s">
        <v>2859</v>
      </c>
      <c r="P77" t="s">
        <v>2860</v>
      </c>
      <c r="Q77" t="s">
        <v>2861</v>
      </c>
      <c r="R77" t="s">
        <v>2862</v>
      </c>
      <c r="S77" t="s">
        <v>2863</v>
      </c>
      <c r="T77" t="s">
        <v>2864</v>
      </c>
      <c r="U77" t="s">
        <v>2865</v>
      </c>
      <c r="V77" t="s">
        <v>2866</v>
      </c>
      <c r="W77" t="s">
        <v>2867</v>
      </c>
      <c r="X77" t="s">
        <v>2868</v>
      </c>
      <c r="Y77" t="s">
        <v>2869</v>
      </c>
      <c r="Z77" t="s">
        <v>2870</v>
      </c>
      <c r="AA77" t="s">
        <v>2871</v>
      </c>
      <c r="AB77" t="s">
        <v>2872</v>
      </c>
      <c r="AC77" t="s">
        <v>2873</v>
      </c>
      <c r="AD77" t="s">
        <v>2874</v>
      </c>
      <c r="AE77" t="s">
        <v>2875</v>
      </c>
      <c r="AF77" t="s">
        <v>2876</v>
      </c>
      <c r="AG77" t="s">
        <v>2877</v>
      </c>
      <c r="AH77" t="s">
        <v>2878</v>
      </c>
      <c r="AI77" t="s">
        <v>2879</v>
      </c>
      <c r="AJ77" t="s">
        <v>2880</v>
      </c>
      <c r="AK77" s="17" t="s">
        <v>2881</v>
      </c>
      <c r="AL77" s="17" t="s">
        <v>2882</v>
      </c>
      <c r="AM77" s="17" t="s">
        <v>2883</v>
      </c>
      <c r="AN77" s="17" t="s">
        <v>2884</v>
      </c>
      <c r="AO77" s="32" t="s">
        <v>2885</v>
      </c>
      <c r="AP77" s="30" t="s">
        <v>2886</v>
      </c>
      <c r="AQ77" s="29" t="s">
        <v>2887</v>
      </c>
      <c r="AR77" s="33" t="s">
        <v>2888</v>
      </c>
    </row>
    <row r="78" spans="1:44">
      <c r="A78" t="s">
        <v>2889</v>
      </c>
      <c r="B78" t="s">
        <v>2890</v>
      </c>
      <c r="C78" t="s">
        <v>2891</v>
      </c>
      <c r="D78" t="s">
        <v>2892</v>
      </c>
      <c r="E78" t="s">
        <v>2893</v>
      </c>
      <c r="F78" t="s">
        <v>2894</v>
      </c>
      <c r="G78" t="s">
        <v>2895</v>
      </c>
      <c r="H78" t="s">
        <v>2896</v>
      </c>
      <c r="I78" t="s">
        <v>2897</v>
      </c>
      <c r="J78" t="s">
        <v>2898</v>
      </c>
      <c r="K78" t="s">
        <v>2899</v>
      </c>
      <c r="L78" t="s">
        <v>2900</v>
      </c>
      <c r="M78" t="s">
        <v>2901</v>
      </c>
      <c r="N78" t="s">
        <v>2902</v>
      </c>
      <c r="O78" t="s">
        <v>2903</v>
      </c>
      <c r="P78" t="s">
        <v>2904</v>
      </c>
      <c r="Q78" t="s">
        <v>2905</v>
      </c>
      <c r="R78" t="s">
        <v>2906</v>
      </c>
      <c r="S78" t="s">
        <v>2907</v>
      </c>
      <c r="T78" t="s">
        <v>2908</v>
      </c>
      <c r="U78" t="s">
        <v>2909</v>
      </c>
      <c r="V78" t="s">
        <v>2910</v>
      </c>
      <c r="W78" t="s">
        <v>2911</v>
      </c>
      <c r="X78" t="s">
        <v>2912</v>
      </c>
      <c r="Y78" t="s">
        <v>2913</v>
      </c>
      <c r="Z78" t="s">
        <v>2914</v>
      </c>
      <c r="AA78" t="s">
        <v>2915</v>
      </c>
      <c r="AB78" t="s">
        <v>2916</v>
      </c>
      <c r="AC78" t="s">
        <v>2917</v>
      </c>
      <c r="AD78" t="s">
        <v>2918</v>
      </c>
      <c r="AE78" t="s">
        <v>2919</v>
      </c>
      <c r="AF78" t="s">
        <v>2920</v>
      </c>
      <c r="AG78" t="s">
        <v>2921</v>
      </c>
      <c r="AH78" t="s">
        <v>2922</v>
      </c>
      <c r="AI78" t="s">
        <v>2923</v>
      </c>
      <c r="AJ78" t="s">
        <v>2924</v>
      </c>
      <c r="AK78" s="17" t="s">
        <v>2925</v>
      </c>
      <c r="AL78" s="17" t="s">
        <v>2926</v>
      </c>
      <c r="AM78" s="17" t="s">
        <v>2927</v>
      </c>
      <c r="AN78" s="17" t="s">
        <v>2928</v>
      </c>
      <c r="AO78" s="32" t="s">
        <v>2929</v>
      </c>
      <c r="AP78" s="30" t="s">
        <v>2930</v>
      </c>
      <c r="AQ78" s="29" t="s">
        <v>2931</v>
      </c>
      <c r="AR78" s="33" t="s">
        <v>2932</v>
      </c>
    </row>
    <row r="79" spans="1:44">
      <c r="A79" t="s">
        <v>2933</v>
      </c>
      <c r="B79" t="s">
        <v>2934</v>
      </c>
      <c r="C79" t="s">
        <v>2935</v>
      </c>
      <c r="D79" t="s">
        <v>2892</v>
      </c>
      <c r="E79" t="s">
        <v>2936</v>
      </c>
      <c r="F79" t="s">
        <v>2937</v>
      </c>
      <c r="G79" t="s">
        <v>2938</v>
      </c>
      <c r="H79" t="s">
        <v>2939</v>
      </c>
      <c r="I79" t="s">
        <v>2940</v>
      </c>
      <c r="J79" t="s">
        <v>2941</v>
      </c>
      <c r="K79" t="s">
        <v>2942</v>
      </c>
      <c r="L79" t="s">
        <v>2943</v>
      </c>
      <c r="M79" t="s">
        <v>2944</v>
      </c>
      <c r="N79" t="s">
        <v>2945</v>
      </c>
      <c r="O79" t="s">
        <v>2946</v>
      </c>
      <c r="P79" t="s">
        <v>2947</v>
      </c>
      <c r="Q79" t="s">
        <v>2948</v>
      </c>
      <c r="R79" t="s">
        <v>2949</v>
      </c>
      <c r="S79" t="s">
        <v>2950</v>
      </c>
      <c r="T79" t="s">
        <v>2951</v>
      </c>
      <c r="U79" t="s">
        <v>2909</v>
      </c>
      <c r="V79" t="s">
        <v>2952</v>
      </c>
      <c r="W79" t="s">
        <v>2953</v>
      </c>
      <c r="X79" t="s">
        <v>2954</v>
      </c>
      <c r="Y79" t="s">
        <v>2955</v>
      </c>
      <c r="Z79" t="s">
        <v>2956</v>
      </c>
      <c r="AA79" t="s">
        <v>2957</v>
      </c>
      <c r="AB79" t="s">
        <v>2958</v>
      </c>
      <c r="AC79" t="s">
        <v>2959</v>
      </c>
      <c r="AD79" t="s">
        <v>2960</v>
      </c>
      <c r="AE79" t="s">
        <v>2961</v>
      </c>
      <c r="AF79" t="s">
        <v>2962</v>
      </c>
      <c r="AG79" t="s">
        <v>2963</v>
      </c>
      <c r="AH79" t="s">
        <v>2964</v>
      </c>
      <c r="AI79" t="s">
        <v>2965</v>
      </c>
      <c r="AJ79" t="s">
        <v>2966</v>
      </c>
      <c r="AK79" s="17" t="s">
        <v>2967</v>
      </c>
      <c r="AL79" s="17" t="s">
        <v>2968</v>
      </c>
      <c r="AM79" s="17" t="s">
        <v>2969</v>
      </c>
      <c r="AN79" s="17" t="s">
        <v>2970</v>
      </c>
      <c r="AO79" s="32" t="s">
        <v>2971</v>
      </c>
      <c r="AP79" s="30" t="s">
        <v>2972</v>
      </c>
      <c r="AQ79" s="29" t="s">
        <v>2973</v>
      </c>
      <c r="AR79" s="33" t="s">
        <v>2974</v>
      </c>
    </row>
    <row r="80" spans="1:44">
      <c r="A80" t="s">
        <v>2975</v>
      </c>
      <c r="B80" t="s">
        <v>2975</v>
      </c>
      <c r="C80" t="s">
        <v>2976</v>
      </c>
      <c r="D80" t="s">
        <v>2975</v>
      </c>
      <c r="E80" t="s">
        <v>2977</v>
      </c>
      <c r="F80" t="s">
        <v>2975</v>
      </c>
      <c r="G80" t="s">
        <v>2978</v>
      </c>
      <c r="H80" t="s">
        <v>2978</v>
      </c>
      <c r="I80" t="s">
        <v>2978</v>
      </c>
      <c r="J80" t="s">
        <v>2975</v>
      </c>
      <c r="K80" t="s">
        <v>2978</v>
      </c>
      <c r="L80" t="s">
        <v>2978</v>
      </c>
      <c r="M80" t="s">
        <v>2979</v>
      </c>
      <c r="N80" t="s">
        <v>2980</v>
      </c>
      <c r="O80" t="s">
        <v>2981</v>
      </c>
      <c r="P80" t="s">
        <v>2982</v>
      </c>
      <c r="Q80" t="s">
        <v>2983</v>
      </c>
      <c r="R80" t="s">
        <v>2984</v>
      </c>
      <c r="S80" t="s">
        <v>2985</v>
      </c>
      <c r="T80" t="s">
        <v>2982</v>
      </c>
      <c r="U80" t="s">
        <v>2986</v>
      </c>
      <c r="V80" t="s">
        <v>2987</v>
      </c>
      <c r="W80" t="s">
        <v>2988</v>
      </c>
      <c r="X80" t="s">
        <v>2978</v>
      </c>
      <c r="Y80" t="s">
        <v>2989</v>
      </c>
      <c r="Z80" t="s">
        <v>2990</v>
      </c>
      <c r="AA80" t="s">
        <v>2991</v>
      </c>
      <c r="AB80" t="s">
        <v>2992</v>
      </c>
      <c r="AC80" t="s">
        <v>2993</v>
      </c>
      <c r="AD80" t="s">
        <v>2978</v>
      </c>
      <c r="AE80" t="s">
        <v>2978</v>
      </c>
      <c r="AF80" t="s">
        <v>2994</v>
      </c>
      <c r="AG80" t="s">
        <v>2995</v>
      </c>
      <c r="AH80" t="s">
        <v>2996</v>
      </c>
      <c r="AI80" t="s">
        <v>2997</v>
      </c>
      <c r="AJ80" t="s">
        <v>2998</v>
      </c>
      <c r="AK80" s="17" t="s">
        <v>2999</v>
      </c>
      <c r="AL80" s="17" t="s">
        <v>3000</v>
      </c>
      <c r="AM80" s="17" t="s">
        <v>3001</v>
      </c>
      <c r="AN80" s="17" t="s">
        <v>3002</v>
      </c>
      <c r="AO80" s="32" t="s">
        <v>3003</v>
      </c>
      <c r="AP80" s="30" t="s">
        <v>3003</v>
      </c>
      <c r="AQ80" s="29" t="s">
        <v>3004</v>
      </c>
      <c r="AR80" s="33" t="s">
        <v>3005</v>
      </c>
    </row>
    <row r="81" spans="1:44">
      <c r="A81" t="s">
        <v>3006</v>
      </c>
      <c r="B81" t="s">
        <v>3006</v>
      </c>
      <c r="C81" t="s">
        <v>3007</v>
      </c>
      <c r="D81" t="s">
        <v>3006</v>
      </c>
      <c r="E81" t="s">
        <v>3008</v>
      </c>
      <c r="F81" t="s">
        <v>3006</v>
      </c>
      <c r="G81" t="s">
        <v>3009</v>
      </c>
      <c r="H81" t="s">
        <v>3009</v>
      </c>
      <c r="I81" t="s">
        <v>3009</v>
      </c>
      <c r="J81" t="s">
        <v>3006</v>
      </c>
      <c r="K81" t="s">
        <v>3009</v>
      </c>
      <c r="L81" t="s">
        <v>3009</v>
      </c>
      <c r="M81" t="s">
        <v>3010</v>
      </c>
      <c r="N81" t="s">
        <v>2983</v>
      </c>
      <c r="O81" t="s">
        <v>3011</v>
      </c>
      <c r="P81" t="s">
        <v>3012</v>
      </c>
      <c r="Q81" t="s">
        <v>3013</v>
      </c>
      <c r="R81" t="s">
        <v>3014</v>
      </c>
      <c r="S81" t="s">
        <v>3015</v>
      </c>
      <c r="T81" t="s">
        <v>3012</v>
      </c>
      <c r="U81" t="s">
        <v>3016</v>
      </c>
      <c r="V81" t="s">
        <v>3017</v>
      </c>
      <c r="W81" t="s">
        <v>3018</v>
      </c>
      <c r="X81" t="s">
        <v>3009</v>
      </c>
      <c r="Y81" t="s">
        <v>3019</v>
      </c>
      <c r="Z81" t="s">
        <v>3020</v>
      </c>
      <c r="AA81" t="s">
        <v>3021</v>
      </c>
      <c r="AB81" t="s">
        <v>3022</v>
      </c>
      <c r="AC81" t="s">
        <v>3023</v>
      </c>
      <c r="AD81" t="s">
        <v>3009</v>
      </c>
      <c r="AE81" t="s">
        <v>3024</v>
      </c>
      <c r="AF81" t="s">
        <v>3025</v>
      </c>
      <c r="AG81" t="s">
        <v>3026</v>
      </c>
      <c r="AH81" t="s">
        <v>3027</v>
      </c>
      <c r="AI81" t="s">
        <v>3028</v>
      </c>
      <c r="AJ81" t="s">
        <v>3029</v>
      </c>
      <c r="AK81" s="17" t="s">
        <v>3030</v>
      </c>
      <c r="AL81" s="17" t="s">
        <v>3031</v>
      </c>
      <c r="AM81" s="17" t="s">
        <v>3032</v>
      </c>
      <c r="AN81" s="17" t="s">
        <v>3033</v>
      </c>
      <c r="AO81" s="32" t="s">
        <v>3034</v>
      </c>
      <c r="AP81" s="30" t="s">
        <v>3034</v>
      </c>
      <c r="AQ81" s="29" t="s">
        <v>3035</v>
      </c>
      <c r="AR81" s="33" t="s">
        <v>3036</v>
      </c>
    </row>
    <row r="82" spans="1:44" ht="11.25">
      <c r="A82" t="s">
        <v>3037</v>
      </c>
      <c r="B82" t="s">
        <v>3037</v>
      </c>
      <c r="C82" t="s">
        <v>3037</v>
      </c>
      <c r="D82" t="s">
        <v>3037</v>
      </c>
      <c r="E82" t="s">
        <v>3037</v>
      </c>
      <c r="F82" t="s">
        <v>3037</v>
      </c>
      <c r="G82" t="s">
        <v>3037</v>
      </c>
      <c r="H82" t="s">
        <v>3037</v>
      </c>
      <c r="I82" t="s">
        <v>3037</v>
      </c>
      <c r="J82" t="s">
        <v>3037</v>
      </c>
      <c r="K82" t="s">
        <v>3037</v>
      </c>
      <c r="L82" t="s">
        <v>3037</v>
      </c>
      <c r="M82" t="s">
        <v>3037</v>
      </c>
      <c r="N82" t="s">
        <v>3037</v>
      </c>
      <c r="O82" t="s">
        <v>3037</v>
      </c>
      <c r="P82" t="s">
        <v>3037</v>
      </c>
      <c r="Q82" t="s">
        <v>3037</v>
      </c>
      <c r="R82" t="s">
        <v>3037</v>
      </c>
      <c r="S82" t="s">
        <v>3037</v>
      </c>
      <c r="T82" t="s">
        <v>3037</v>
      </c>
      <c r="U82" t="s">
        <v>3037</v>
      </c>
      <c r="V82" t="s">
        <v>3037</v>
      </c>
      <c r="W82" t="s">
        <v>3037</v>
      </c>
      <c r="X82" t="s">
        <v>3037</v>
      </c>
      <c r="Y82" t="s">
        <v>3037</v>
      </c>
      <c r="Z82" t="s">
        <v>3037</v>
      </c>
      <c r="AA82" t="s">
        <v>3037</v>
      </c>
      <c r="AB82" t="s">
        <v>3037</v>
      </c>
      <c r="AC82" t="s">
        <v>3037</v>
      </c>
      <c r="AD82" t="s">
        <v>3037</v>
      </c>
      <c r="AE82" t="s">
        <v>3037</v>
      </c>
      <c r="AF82" t="s">
        <v>3037</v>
      </c>
      <c r="AG82" t="s">
        <v>3037</v>
      </c>
      <c r="AH82" t="s">
        <v>3037</v>
      </c>
      <c r="AI82" t="s">
        <v>3037</v>
      </c>
      <c r="AJ82" t="s">
        <v>3037</v>
      </c>
      <c r="AK82" t="s">
        <v>3037</v>
      </c>
      <c r="AL82" t="s">
        <v>3037</v>
      </c>
      <c r="AM82" t="s">
        <v>3037</v>
      </c>
      <c r="AN82" t="s">
        <v>3037</v>
      </c>
      <c r="AO82" t="s">
        <v>3037</v>
      </c>
      <c r="AP82" t="s">
        <v>3037</v>
      </c>
      <c r="AQ82" t="s">
        <v>3037</v>
      </c>
      <c r="AR82" t="s">
        <v>3037</v>
      </c>
    </row>
    <row r="83" spans="1:44">
      <c r="A83" t="s">
        <v>3038</v>
      </c>
      <c r="B83" t="s">
        <v>3039</v>
      </c>
      <c r="C83" t="s">
        <v>3040</v>
      </c>
      <c r="D83" t="s">
        <v>3038</v>
      </c>
      <c r="E83" t="s">
        <v>3041</v>
      </c>
      <c r="F83" t="s">
        <v>3042</v>
      </c>
      <c r="G83" t="s">
        <v>3043</v>
      </c>
      <c r="H83" t="s">
        <v>3044</v>
      </c>
      <c r="I83" t="s">
        <v>3045</v>
      </c>
      <c r="J83" t="s">
        <v>3046</v>
      </c>
      <c r="K83" t="s">
        <v>3047</v>
      </c>
      <c r="L83" t="s">
        <v>3048</v>
      </c>
      <c r="M83" t="s">
        <v>3049</v>
      </c>
      <c r="N83" t="s">
        <v>3050</v>
      </c>
      <c r="O83" t="s">
        <v>3051</v>
      </c>
      <c r="P83" t="s">
        <v>3052</v>
      </c>
      <c r="Q83" t="s">
        <v>3053</v>
      </c>
      <c r="R83" t="s">
        <v>3054</v>
      </c>
      <c r="S83" t="s">
        <v>3055</v>
      </c>
      <c r="T83" t="s">
        <v>3056</v>
      </c>
      <c r="U83" t="s">
        <v>3057</v>
      </c>
      <c r="V83" t="s">
        <v>3058</v>
      </c>
      <c r="W83" t="s">
        <v>3059</v>
      </c>
      <c r="X83" t="s">
        <v>3060</v>
      </c>
      <c r="Y83" t="s">
        <v>3061</v>
      </c>
      <c r="Z83" t="s">
        <v>3062</v>
      </c>
      <c r="AA83" t="s">
        <v>3063</v>
      </c>
      <c r="AB83" t="s">
        <v>3064</v>
      </c>
      <c r="AC83" t="s">
        <v>3065</v>
      </c>
      <c r="AD83" t="s">
        <v>3066</v>
      </c>
      <c r="AE83" t="s">
        <v>3067</v>
      </c>
      <c r="AF83" t="s">
        <v>3068</v>
      </c>
      <c r="AG83" t="s">
        <v>3069</v>
      </c>
      <c r="AH83" t="s">
        <v>3070</v>
      </c>
      <c r="AI83" t="s">
        <v>3071</v>
      </c>
      <c r="AJ83" t="s">
        <v>3072</v>
      </c>
      <c r="AK83" s="17" t="s">
        <v>3073</v>
      </c>
      <c r="AL83" s="17" t="s">
        <v>3074</v>
      </c>
      <c r="AM83" s="17" t="s">
        <v>3075</v>
      </c>
      <c r="AN83" s="17" t="s">
        <v>3076</v>
      </c>
      <c r="AO83" s="32" t="s">
        <v>3077</v>
      </c>
      <c r="AP83" s="30" t="s">
        <v>3078</v>
      </c>
      <c r="AQ83" s="29" t="s">
        <v>3079</v>
      </c>
      <c r="AR83" s="33" t="s">
        <v>3080</v>
      </c>
    </row>
    <row r="84" spans="1:44">
      <c r="X84" s="17" t="s">
        <v>3081</v>
      </c>
      <c r="AI84" s="17" t="s">
        <v>3082</v>
      </c>
    </row>
  </sheetData>
  <phoneticPr fontId="0" type="noConversion"/>
  <pageMargins left="0.75" right="0.75" top="1" bottom="1" header="0.5" footer="0.5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World Cup 2006</vt:lpstr>
      <vt:lpstr>T</vt:lpstr>
      <vt:lpstr>'World Cup 2006'!Afdrukbereik</vt:lpstr>
      <vt:lpstr>GMT</vt:lpstr>
      <vt:lpstr>GMT_MIN</vt:lpstr>
      <vt:lpstr>language</vt:lpstr>
      <vt:lpstr>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2013-04-11T20:21:14Z</dcterms:created>
  <dcterms:modified xsi:type="dcterms:W3CDTF">2013-04-13T13:49:52Z</dcterms:modified>
</cp:coreProperties>
</file>